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4SgB7THKvTKozPb17NYiOmCgSj64+QQWorVFiowY88ZiKG99ULixrb+qHvrllq4MIpVHrTgwDPyXqZJcQuCjwQ==" workbookSaltValue="GGZtySlNFh1JpxN/PtoI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AO9" i="11"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Y11" i="11"/>
  <c r="AT18" i="17"/>
  <c r="N10" i="11"/>
  <c r="N9" i="11"/>
  <c r="T10" i="21"/>
  <c r="AO16" i="11"/>
  <c r="F10" i="10"/>
  <c r="N11" i="11"/>
  <c r="ES19" i="8"/>
  <c r="C18" i="7"/>
  <c r="S19" i="13"/>
  <c r="AG19" i="19"/>
  <c r="F9" i="11"/>
  <c r="CI19" i="8"/>
  <c r="AE19" i="8"/>
  <c r="F17" i="16"/>
  <c r="BL17" i="16" s="1"/>
  <c r="EP19" i="8"/>
  <c r="ER19" i="13"/>
  <c r="AL13" i="16"/>
  <c r="BL9" i="11"/>
  <c r="P17" i="17"/>
  <c r="BK9" i="11"/>
  <c r="S13" i="16"/>
  <c r="H18" i="16"/>
  <c r="P13" i="16"/>
  <c r="AN13" i="20"/>
  <c r="F15" i="17"/>
  <c r="F17" i="17"/>
  <c r="AQ17" i="17" s="1"/>
  <c r="F9" i="2"/>
  <c r="B12" i="6"/>
  <c r="AC10" i="11"/>
  <c r="T19" i="8"/>
  <c r="AJ19" i="8"/>
  <c r="BM12" i="11"/>
  <c r="BJ15" i="11"/>
  <c r="R17" i="20"/>
  <c r="R18" i="20" s="1"/>
  <c r="AZ15" i="11"/>
  <c r="AZ18" i="11" s="1"/>
  <c r="BV12" i="16"/>
  <c r="U10" i="17"/>
  <c r="AA16" i="16"/>
  <c r="T16" i="11"/>
  <c r="BI9" i="11"/>
  <c r="BH11" i="11"/>
  <c r="BH12" i="16"/>
  <c r="AY18" i="8"/>
  <c r="BF15" i="8"/>
  <c r="AZ18" i="13"/>
  <c r="AY13" i="8"/>
  <c r="BD12" i="8"/>
  <c r="H12" i="7" s="1"/>
  <c r="BG15" i="8"/>
  <c r="BD9" i="8"/>
  <c r="BE9" i="8"/>
  <c r="BA13" i="8"/>
  <c r="AV18" i="17"/>
  <c r="J18" i="17"/>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AW18" i="21"/>
  <c r="C19" i="3"/>
  <c r="Z13" i="17"/>
  <c r="L12" i="14"/>
  <c r="Z19" i="8"/>
  <c r="H13" i="12"/>
  <c r="B9" i="6"/>
  <c r="E11" i="6"/>
  <c r="AO17" i="11"/>
  <c r="H12" i="2"/>
  <c r="C11" i="6"/>
  <c r="B16" i="6"/>
  <c r="C17" i="6"/>
  <c r="I17" i="12" s="1"/>
  <c r="E15" i="6"/>
  <c r="M13" i="2"/>
  <c r="M18" i="2"/>
  <c r="N18" i="2"/>
  <c r="E9" i="6"/>
  <c r="AO12" i="17"/>
  <c r="AO12" i="11"/>
  <c r="B17" i="6"/>
  <c r="D11" i="12"/>
  <c r="BF11" i="8"/>
  <c r="BF9" i="8"/>
  <c r="C10" i="6"/>
  <c r="BD15" i="8"/>
  <c r="H15" i="7" s="1"/>
  <c r="BE15" i="8"/>
  <c r="BG16" i="8"/>
  <c r="K16" i="7" s="1"/>
  <c r="E18" i="2"/>
  <c r="AL15" i="11"/>
  <c r="L16" i="14"/>
  <c r="F15" i="11"/>
  <c r="F16" i="17"/>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P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U9" i="17"/>
  <c r="U19" i="17" s="1"/>
  <c r="BK10" i="11"/>
  <c r="BM9" i="11"/>
  <c r="Q9" i="11" s="1"/>
  <c r="BG16" i="11"/>
  <c r="BK16" i="11"/>
  <c r="AQ10" i="21"/>
  <c r="BH10" i="11"/>
  <c r="BG12" i="11"/>
  <c r="S11" i="14"/>
  <c r="V11" i="14" s="1"/>
  <c r="AA15" i="16"/>
  <c r="BU12" i="17"/>
  <c r="BW10" i="20"/>
  <c r="BW11" i="20"/>
  <c r="BW21" i="20" s="1"/>
  <c r="BW12" i="20"/>
  <c r="BU10" i="17"/>
  <c r="BU11" i="17"/>
  <c r="AP17" i="20"/>
  <c r="BK17" i="11"/>
  <c r="BG15" i="11"/>
  <c r="BJ12" i="11"/>
  <c r="AO16" i="17"/>
  <c r="BH9" i="11"/>
  <c r="AP10" i="21"/>
  <c r="BK11" i="11"/>
  <c r="V12" i="21"/>
  <c r="R12" i="14"/>
  <c r="R13" i="14" s="1"/>
  <c r="BF10" i="11"/>
  <c r="BL17" i="11"/>
  <c r="BM16" i="11"/>
  <c r="BH17" i="16"/>
  <c r="BH11" i="16"/>
  <c r="T9" i="1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AL18" i="11" s="1"/>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Y13" i="11" l="1"/>
  <c r="B19" i="7"/>
  <c r="K12" i="12"/>
  <c r="G19" i="7"/>
  <c r="F19" i="7"/>
  <c r="I10" i="12"/>
  <c r="V13" i="21"/>
  <c r="V19" i="21" s="1"/>
  <c r="B18" i="6"/>
  <c r="C18" i="6"/>
  <c r="X19" i="21"/>
  <c r="BK13" i="11"/>
  <c r="F18" i="20"/>
  <c r="F21" i="20" s="1"/>
  <c r="AM13" i="11"/>
  <c r="J18" i="2"/>
  <c r="I11" i="12"/>
  <c r="BF13" i="13"/>
  <c r="G21" i="11"/>
  <c r="BE13" i="13"/>
  <c r="BI18" i="11"/>
  <c r="P9" i="11"/>
  <c r="P17" i="11"/>
  <c r="Q16" i="11"/>
  <c r="BL18" i="11"/>
  <c r="BF18" i="11"/>
  <c r="BU21" i="17"/>
  <c r="P15" i="11"/>
  <c r="BH13"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<sst xmlns="http://schemas.openxmlformats.org/spreadsheetml/2006/main" count="2102" uniqueCount="918">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</sst>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LHtnWYX+Re9Bs87Za8v80t+BCZd6Rqfmqc7pHQepk8dNNGaX7bQpvjisIpTq39FR/G+uQNWzmPGVhJ3Dpmo5A==" saltValue="iTaQ6A3JOVhwiJDJtsaa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7</v>
      </c>
      <c r="E10" s="225">
        <f>IF(ISNUMBER(Datos!J10),Datos!J10," - ")</f>
        <v>0</v>
      </c>
      <c r="F10" s="225">
        <f>IF(ISNUMBER(Datos!K10),Datos!K10," - ")</f>
        <v>1</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31.518055555555552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7</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1008</v>
      </c>
      <c r="D16" s="224">
        <f>IF(ISNUMBER(IF(D_I="SI",Datos!I16,Datos!I16+Datos!AC16)),IF(D_I="SI",Datos!I16,Datos!I16+Datos!AC16)," - ")</f>
        <v>1006</v>
      </c>
      <c r="E16" s="225">
        <f>IF(ISNUMBER(IF(D_I="SI",Datos!J16,Datos!J16+Datos!AD16)),IF(D_I="SI",Datos!J16,Datos!J16+Datos!AD16)," - ")</f>
        <v>587</v>
      </c>
      <c r="F16" s="225">
        <f>IF(ISNUMBER(IF(D_I="SI",Datos!K16,Datos!K16+Datos!AE16)),IF(D_I="SI",Datos!K16,Datos!K16+Datos!AE16)," - ")</f>
        <v>484</v>
      </c>
      <c r="G16" s="1033" t="str">
        <f>IF(Datos!E16&lt;&gt;"",Datos!E16,Datos!D16)</f>
        <v>04</v>
      </c>
      <c r="H16" s="226">
        <f>IF(ISNUMBER(IF(D_I="SI",Datos!L16,Datos!L16+Datos!AF16)),IF(D_I="SI",Datos!L16,Datos!L16+Datos!AF16)," - ")</f>
        <v>1111</v>
      </c>
      <c r="I16" s="1043" t="str">
        <f>IF(ISNUMBER(Datos!AS16/Datos!BM16),Datos!AS16/Datos!BM16," - ")</f>
        <v xml:space="preserve"> - </v>
      </c>
      <c r="J16" s="1044">
        <f>IF(ISNUMBER(Datos!BY16/Datos!CN16),Datos!BY16/Datos!CN16," - ")</f>
        <v>0</v>
      </c>
      <c r="K16" s="229">
        <f t="shared" si="3"/>
        <v>0.10218253968253968</v>
      </c>
      <c r="L16" s="1024">
        <f>IF(ISNUMBER(NºAsuntos!I16/NºAsuntos!G16),(NºAsuntos!I16/NºAsuntos!G16)*11," - ")</f>
        <v>25.25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-0.10344827586206896</v>
      </c>
      <c r="L17" s="1024">
        <f>IF(ISNUMBER(NºAsuntos!I17/NºAsuntos!G17),(NºAsuntos!I17/NºAsuntos!G17)*11," - ")</f>
        <v>95.333333333333329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1037</v>
      </c>
      <c r="D18" s="1048">
        <f>SUBTOTAL(9,D15:D17)</f>
        <v>1035</v>
      </c>
      <c r="E18" s="1049">
        <f>SUBTOTAL(9,E15:E17)</f>
        <v>587</v>
      </c>
      <c r="F18" s="1049">
        <f>SUBTOTAL(9,F15:F17)</f>
        <v>487</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1042</v>
      </c>
      <c r="D19" s="1070">
        <f>SUBTOTAL(9,D9:D18)</f>
        <v>1042</v>
      </c>
      <c r="E19" s="1071">
        <f>SUBTOTAL(9,E9:E18)</f>
        <v>587</v>
      </c>
      <c r="F19" s="1071">
        <f>SUBTOTAL(9,F9:F18)</f>
        <v>488</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ZE1+UgKYxESCDpJHwv7GEax9ueXNcIvCOW5bv1NiJ+ldr+R/hW9Q0ty1AJTPtpCkkOW/U3wiTITY38PdiFnQg==" saltValue="b7MGDi84A+MZqxS9RS2I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Vutw+BeMzZDWe86qIBsfTNabYa+IMZdpa9zqCuSMeXfSvCO6btu4yH3BWa8JmKGwA9rhm3pGp9qmdlEaCXBOg==" saltValue="DBIJv8J7/ZeBNDU3MH5h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0</v>
      </c>
      <c r="K10" s="180">
        <v>1</v>
      </c>
      <c r="L10" s="180">
        <v>4</v>
      </c>
      <c r="M10" s="180">
        <v>1</v>
      </c>
      <c r="N10" s="180">
        <v>0</v>
      </c>
      <c r="O10" s="180">
        <v>0</v>
      </c>
      <c r="P10" s="180">
        <v>0</v>
      </c>
      <c r="Q10" s="180">
        <v>0</v>
      </c>
      <c r="R10" s="180">
        <v>3</v>
      </c>
      <c r="S10" s="180">
        <v>19</v>
      </c>
      <c r="T10" s="180">
        <v>3</v>
      </c>
      <c r="U10" s="180">
        <v>0</v>
      </c>
      <c r="V10" s="180">
        <v>22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3</v>
      </c>
      <c r="BA10" s="129">
        <f t="shared" si="0"/>
        <v>0</v>
      </c>
      <c r="BB10" s="129">
        <f t="shared" si="0"/>
        <v>22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2028</v>
      </c>
      <c r="J12" s="182">
        <v>591</v>
      </c>
      <c r="K12" s="182">
        <v>677</v>
      </c>
      <c r="L12" s="182">
        <v>1943</v>
      </c>
      <c r="M12" s="182">
        <v>274</v>
      </c>
      <c r="N12" s="182">
        <v>302</v>
      </c>
      <c r="O12" s="180">
        <v>260</v>
      </c>
      <c r="P12" s="182">
        <v>228</v>
      </c>
      <c r="Q12" s="182">
        <v>122</v>
      </c>
      <c r="R12" s="182">
        <v>4269</v>
      </c>
      <c r="S12" s="182">
        <v>1827</v>
      </c>
      <c r="T12" s="182">
        <v>1108</v>
      </c>
      <c r="U12" s="182">
        <v>1112</v>
      </c>
      <c r="V12" s="182">
        <v>1823</v>
      </c>
      <c r="W12" s="182">
        <v>294</v>
      </c>
      <c r="X12" s="188">
        <v>667</v>
      </c>
      <c r="Y12" s="190">
        <v>108</v>
      </c>
      <c r="Z12" s="180">
        <v>55</v>
      </c>
      <c r="AA12" s="180">
        <v>43</v>
      </c>
      <c r="AB12" s="180">
        <v>120</v>
      </c>
      <c r="AC12" s="182">
        <v>0</v>
      </c>
      <c r="AD12" s="182">
        <v>0</v>
      </c>
      <c r="AE12" s="182">
        <v>0</v>
      </c>
      <c r="AF12" s="188">
        <v>0</v>
      </c>
      <c r="AG12" s="201">
        <v>88</v>
      </c>
      <c r="AH12" s="182">
        <v>41</v>
      </c>
      <c r="AI12" s="182">
        <v>62</v>
      </c>
      <c r="AJ12" s="202">
        <v>67</v>
      </c>
      <c r="AK12" s="181">
        <v>0</v>
      </c>
      <c r="AL12" s="182">
        <v>0</v>
      </c>
      <c r="AM12" s="182">
        <v>0</v>
      </c>
      <c r="AN12" s="188">
        <v>0</v>
      </c>
      <c r="AO12" s="258">
        <v>3</v>
      </c>
      <c r="AP12" s="154">
        <v>3</v>
      </c>
      <c r="AQ12" s="154">
        <v>3</v>
      </c>
      <c r="AR12" s="153">
        <v>3</v>
      </c>
      <c r="AS12" s="339" t="s">
        <v>794</v>
      </c>
      <c r="AT12" s="202"/>
      <c r="AU12" s="201"/>
      <c r="AV12" s="202"/>
      <c r="AW12" s="201"/>
      <c r="AX12" s="202"/>
      <c r="AY12" s="126">
        <f t="shared" si="1"/>
        <v>1915</v>
      </c>
      <c r="AZ12" s="127">
        <f t="shared" si="1"/>
        <v>1149</v>
      </c>
      <c r="BA12" s="127">
        <f t="shared" si="1"/>
        <v>1174</v>
      </c>
      <c r="BB12" s="127">
        <f t="shared" si="1"/>
        <v>1890</v>
      </c>
      <c r="BC12" s="125">
        <f>IF(ISNUMBER(X12),X12," - ")</f>
        <v>667</v>
      </c>
      <c r="BD12" s="126">
        <f t="shared" si="2"/>
        <v>1.0217580504786772</v>
      </c>
      <c r="BE12" s="127">
        <f t="shared" si="3"/>
        <v>1.6098807495741057</v>
      </c>
      <c r="BF12" s="127">
        <f t="shared" si="4"/>
        <v>0.56814310051107331</v>
      </c>
      <c r="BG12" s="195">
        <f t="shared" si="5"/>
        <v>2.6098807495741054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2035</v>
      </c>
      <c r="J13" s="183">
        <f t="shared" si="6"/>
        <v>591</v>
      </c>
      <c r="K13" s="183">
        <f t="shared" si="6"/>
        <v>678</v>
      </c>
      <c r="L13" s="183">
        <f t="shared" si="6"/>
        <v>1947</v>
      </c>
      <c r="M13" s="183">
        <f t="shared" si="6"/>
        <v>275</v>
      </c>
      <c r="N13" s="183">
        <f t="shared" si="6"/>
        <v>302</v>
      </c>
      <c r="O13" s="183">
        <f t="shared" si="6"/>
        <v>260</v>
      </c>
      <c r="P13" s="183">
        <f t="shared" si="6"/>
        <v>228</v>
      </c>
      <c r="Q13" s="183">
        <f t="shared" si="6"/>
        <v>122</v>
      </c>
      <c r="R13" s="183">
        <f t="shared" si="6"/>
        <v>4272</v>
      </c>
      <c r="S13" s="183">
        <f t="shared" si="6"/>
        <v>1846</v>
      </c>
      <c r="T13" s="183">
        <f t="shared" si="6"/>
        <v>1111</v>
      </c>
      <c r="U13" s="183">
        <f t="shared" si="6"/>
        <v>1112</v>
      </c>
      <c r="V13" s="183">
        <f t="shared" si="6"/>
        <v>1845</v>
      </c>
      <c r="W13" s="183">
        <f t="shared" si="6"/>
        <v>294</v>
      </c>
      <c r="X13" s="183">
        <f t="shared" si="6"/>
        <v>667</v>
      </c>
      <c r="Y13" s="183">
        <f t="shared" si="6"/>
        <v>108</v>
      </c>
      <c r="Z13" s="183">
        <f t="shared" si="6"/>
        <v>55</v>
      </c>
      <c r="AA13" s="183">
        <f t="shared" si="6"/>
        <v>43</v>
      </c>
      <c r="AB13" s="183">
        <f t="shared" si="6"/>
        <v>120</v>
      </c>
      <c r="AC13" s="183">
        <f t="shared" si="6"/>
        <v>0</v>
      </c>
      <c r="AD13" s="183">
        <f t="shared" si="6"/>
        <v>0</v>
      </c>
      <c r="AE13" s="183">
        <f t="shared" si="6"/>
        <v>0</v>
      </c>
      <c r="AF13" s="183">
        <f>SUBTOTAL(9,AF9:AF12)</f>
        <v>0</v>
      </c>
      <c r="AG13" s="183">
        <f t="shared" ref="AG13:AT13" si="7">SUBTOTAL(9,AG8:AG12)</f>
        <v>88</v>
      </c>
      <c r="AH13" s="183">
        <f t="shared" si="7"/>
        <v>41</v>
      </c>
      <c r="AI13" s="183">
        <f t="shared" si="7"/>
        <v>62</v>
      </c>
      <c r="AJ13" s="183">
        <f t="shared" si="7"/>
        <v>67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1934</v>
      </c>
      <c r="AZ13" s="183">
        <f>SUBTOTAL(9,AZ8:AZ12)</f>
        <v>1152</v>
      </c>
      <c r="BA13" s="183">
        <f>SUBTOTAL(9,BA8:BA12)</f>
        <v>1174</v>
      </c>
      <c r="BB13" s="183">
        <f>SUBTOTAL(9,BB8:BB12)</f>
        <v>1912</v>
      </c>
      <c r="BC13" s="183">
        <f>SUBTOTAL(9,BC8:BC12)</f>
        <v>667</v>
      </c>
      <c r="BD13" s="204">
        <f>IF(ISNUMBER(BA13/AZ13),BA13/AZ13," - ")</f>
        <v>1.0190972222222223</v>
      </c>
      <c r="BE13" s="205">
        <f>IF(ISNUMBER(BB13/BA13),BB13/BA13, " - ")</f>
        <v>1.6286201022146507</v>
      </c>
      <c r="BF13" s="205">
        <f>IF(ISNUMBER(BC13/BA13),BC13/BA13, " - ")</f>
        <v>0.56814310051107331</v>
      </c>
      <c r="BG13" s="206">
        <f>IF(ISNUMBER((AY13+AZ13)/BA13),(AY13+AZ13)/BA13," - ")</f>
        <v>2.6286201022146507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1006</v>
      </c>
      <c r="J16" s="182">
        <v>587</v>
      </c>
      <c r="K16" s="182">
        <v>484</v>
      </c>
      <c r="L16" s="182">
        <v>1111</v>
      </c>
      <c r="M16" s="182">
        <v>58</v>
      </c>
      <c r="N16" s="182">
        <v>271</v>
      </c>
      <c r="O16" s="180">
        <v>23</v>
      </c>
      <c r="P16" s="182">
        <v>10</v>
      </c>
      <c r="Q16" s="182">
        <v>38</v>
      </c>
      <c r="R16" s="182">
        <v>133</v>
      </c>
      <c r="S16" s="182">
        <v>780</v>
      </c>
      <c r="T16" s="182">
        <v>625</v>
      </c>
      <c r="U16" s="182">
        <v>473</v>
      </c>
      <c r="V16" s="182">
        <v>932</v>
      </c>
      <c r="W16" s="182">
        <v>95</v>
      </c>
      <c r="X16" s="188">
        <v>252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780</v>
      </c>
      <c r="AZ16" s="127">
        <f t="shared" si="9"/>
        <v>625</v>
      </c>
      <c r="BA16" s="127">
        <f t="shared" si="9"/>
        <v>473</v>
      </c>
      <c r="BB16" s="127">
        <f t="shared" si="9"/>
        <v>932</v>
      </c>
      <c r="BC16" s="125">
        <f>IF(ISNUMBER(W16),W16," - ")</f>
        <v>95</v>
      </c>
      <c r="BD16" s="126">
        <f t="shared" ref="BD16" si="11">IF(ISNUMBER(BA16/AZ16),BA16/AZ16," - ")</f>
        <v>0.75680000000000003</v>
      </c>
      <c r="BE16" s="127">
        <f t="shared" ref="BE16" si="12">IF(ISNUMBER(BB16/BA16),BB16/BA16, " - ")</f>
        <v>1.970401691331924</v>
      </c>
      <c r="BF16" s="127">
        <f t="shared" ref="BF16" si="13">IF(ISNUMBER(BC16/BA16),BC16/BA16, " - ")</f>
        <v>0.20084566596194503</v>
      </c>
      <c r="BG16" s="195">
        <f t="shared" si="10"/>
        <v>2.970401691331924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0</v>
      </c>
      <c r="K17" s="182">
        <v>3</v>
      </c>
      <c r="L17" s="182">
        <v>26</v>
      </c>
      <c r="M17" s="182">
        <v>0</v>
      </c>
      <c r="N17" s="182">
        <v>2</v>
      </c>
      <c r="O17" s="182">
        <v>0</v>
      </c>
      <c r="P17" s="182">
        <v>0</v>
      </c>
      <c r="Q17" s="182">
        <v>0</v>
      </c>
      <c r="R17" s="182">
        <v>1</v>
      </c>
      <c r="S17" s="182">
        <v>67</v>
      </c>
      <c r="T17" s="182">
        <v>16</v>
      </c>
      <c r="U17" s="182">
        <v>24</v>
      </c>
      <c r="V17" s="182">
        <v>59</v>
      </c>
      <c r="W17" s="182">
        <v>0</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16</v>
      </c>
      <c r="BA17" s="129">
        <f t="shared" si="14"/>
        <v>24</v>
      </c>
      <c r="BB17" s="129">
        <f t="shared" si="14"/>
        <v>59</v>
      </c>
      <c r="BC17" s="125">
        <f>IF(ISNUMBER(W17),W17," - ")</f>
        <v>0</v>
      </c>
      <c r="BD17" s="126">
        <f>IF(ISNUMBER(BA17/AZ17),BA17/AZ17," - ")</f>
        <v>1.5</v>
      </c>
      <c r="BE17" s="127">
        <f>IF(ISNUMBER(BB17/BA17),BB17/BA17, " - ")</f>
        <v>2.4583333333333335</v>
      </c>
      <c r="BF17" s="127">
        <f>IF(ISNUMBER(BC17/BA17),BC17/BA17, " - ")</f>
        <v>0</v>
      </c>
      <c r="BG17" s="195">
        <f>IF(ISNUMBER((AY17+AZ17)/BA17),(AY17+AZ17)/BA17," - ")</f>
        <v>3.4583333333333335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1035</v>
      </c>
      <c r="J18" s="183">
        <f t="shared" si="15"/>
        <v>587</v>
      </c>
      <c r="K18" s="183">
        <f t="shared" si="15"/>
        <v>487</v>
      </c>
      <c r="L18" s="183">
        <f t="shared" si="15"/>
        <v>1137</v>
      </c>
      <c r="M18" s="183">
        <f t="shared" si="15"/>
        <v>58</v>
      </c>
      <c r="N18" s="183">
        <f t="shared" si="15"/>
        <v>273</v>
      </c>
      <c r="O18" s="183">
        <f t="shared" si="15"/>
        <v>23</v>
      </c>
      <c r="P18" s="183">
        <f t="shared" si="15"/>
        <v>10</v>
      </c>
      <c r="Q18" s="183">
        <f t="shared" si="15"/>
        <v>38</v>
      </c>
      <c r="R18" s="183">
        <f t="shared" si="15"/>
        <v>134</v>
      </c>
      <c r="S18" s="183">
        <f t="shared" si="15"/>
        <v>847</v>
      </c>
      <c r="T18" s="183">
        <f t="shared" si="15"/>
        <v>641</v>
      </c>
      <c r="U18" s="183">
        <f t="shared" si="15"/>
        <v>497</v>
      </c>
      <c r="V18" s="183">
        <f t="shared" si="15"/>
        <v>991</v>
      </c>
      <c r="W18" s="183">
        <f t="shared" si="15"/>
        <v>95</v>
      </c>
      <c r="X18" s="183">
        <f t="shared" si="15"/>
        <v>263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847</v>
      </c>
      <c r="AZ18" s="183">
        <f>SUBTOTAL(9,AZ14:AZ17)</f>
        <v>641</v>
      </c>
      <c r="BA18" s="183">
        <f>SUBTOTAL(9,BA14:BA17)</f>
        <v>497</v>
      </c>
      <c r="BB18" s="183">
        <f>SUBTOTAL(9,BB14:BB17)</f>
        <v>991</v>
      </c>
      <c r="BC18" s="183">
        <f>SUBTOTAL(9,BC14:BC17)</f>
        <v>95</v>
      </c>
      <c r="BD18" s="204">
        <f>IF(ISNUMBER(BA18/AZ18),BA18/AZ18," - ")</f>
        <v>0.77535101404056161</v>
      </c>
      <c r="BE18" s="205">
        <f>IF(ISNUMBER(BB18/BA18),BB18/BA18, " - ")</f>
        <v>1.9939637826961771</v>
      </c>
      <c r="BF18" s="205">
        <f>IF(ISNUMBER(BC18/BA18),BC18/BA18, " - ")</f>
        <v>0.19114688128772636</v>
      </c>
      <c r="BG18" s="206">
        <f>IF(ISNUMBER((AY18+AZ18)/BA18),(AY18+AZ18)/BA18," - ")</f>
        <v>2.9939637826961771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3070</v>
      </c>
      <c r="J19" s="134">
        <f t="shared" si="18"/>
        <v>1178</v>
      </c>
      <c r="K19" s="134">
        <f t="shared" si="18"/>
        <v>1165</v>
      </c>
      <c r="L19" s="134">
        <f t="shared" si="18"/>
        <v>3084</v>
      </c>
      <c r="M19" s="134">
        <f t="shared" si="18"/>
        <v>333</v>
      </c>
      <c r="N19" s="134">
        <f t="shared" si="18"/>
        <v>575</v>
      </c>
      <c r="O19" s="134">
        <f t="shared" si="18"/>
        <v>283</v>
      </c>
      <c r="P19" s="134">
        <f t="shared" si="18"/>
        <v>238</v>
      </c>
      <c r="Q19" s="134">
        <f t="shared" si="18"/>
        <v>160</v>
      </c>
      <c r="R19" s="134">
        <f t="shared" si="18"/>
        <v>4406</v>
      </c>
      <c r="S19" s="134">
        <f t="shared" si="18"/>
        <v>2693</v>
      </c>
      <c r="T19" s="134">
        <f t="shared" si="18"/>
        <v>1752</v>
      </c>
      <c r="U19" s="134">
        <f t="shared" si="18"/>
        <v>1609</v>
      </c>
      <c r="V19" s="134">
        <f t="shared" si="18"/>
        <v>2836</v>
      </c>
      <c r="W19" s="134">
        <f t="shared" si="18"/>
        <v>389</v>
      </c>
      <c r="X19" s="134">
        <f t="shared" si="18"/>
        <v>930</v>
      </c>
      <c r="Y19" s="134">
        <f t="shared" si="18"/>
        <v>108</v>
      </c>
      <c r="Z19" s="134">
        <f t="shared" si="18"/>
        <v>55</v>
      </c>
      <c r="AA19" s="134">
        <f t="shared" si="18"/>
        <v>43</v>
      </c>
      <c r="AB19" s="134">
        <f t="shared" si="18"/>
        <v>120</v>
      </c>
      <c r="AC19" s="134">
        <f t="shared" si="18"/>
        <v>0</v>
      </c>
      <c r="AD19" s="134">
        <f t="shared" si="18"/>
        <v>0</v>
      </c>
      <c r="AE19" s="134">
        <f t="shared" si="18"/>
        <v>0</v>
      </c>
      <c r="AF19" s="134">
        <f t="shared" si="18"/>
        <v>0</v>
      </c>
      <c r="AG19" s="134">
        <f t="shared" si="18"/>
        <v>88</v>
      </c>
      <c r="AH19" s="134">
        <f t="shared" si="18"/>
        <v>41</v>
      </c>
      <c r="AI19" s="134">
        <f t="shared" si="18"/>
        <v>62</v>
      </c>
      <c r="AJ19" s="134">
        <f t="shared" si="18"/>
        <v>67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2781</v>
      </c>
      <c r="AZ19" s="134">
        <f>SUBTOTAL(9,AZ9:AZ18)</f>
        <v>1793</v>
      </c>
      <c r="BA19" s="134">
        <f>SUBTOTAL(9,BA9:BA18)</f>
        <v>1671</v>
      </c>
      <c r="BB19" s="134">
        <f>SUBTOTAL(9,BB9:BB18)</f>
        <v>2903</v>
      </c>
      <c r="BC19" s="135">
        <f>SUBTOTAL(9,BC9:BC18)</f>
        <v>762</v>
      </c>
      <c r="BD19" s="212">
        <f>IF(ISNUMBER(BA19/AZ19),BA19/AZ19," - ")</f>
        <v>0.93195761293920798</v>
      </c>
      <c r="BE19" s="209">
        <f>IF(ISNUMBER(BB19/BA19),BB19/BA19, " - ")</f>
        <v>1.7372830640335128</v>
      </c>
      <c r="BF19" s="209">
        <f>IF(ISNUMBER(BC19/BA19),BC19/BA19, " - ")</f>
        <v>0.45601436265709155</v>
      </c>
      <c r="BG19" s="135">
        <f>IF(ISNUMBER((AY19+AZ19)/BA19),(AY19+AZ19)/BA19," - ")</f>
        <v>2.7372830640335128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rjWVKlAEcQwbBH2d/09vzO+q7+yzNgZ8KhmwUTpNKTdDTXis0oVIvA4MmxXOb1UQHL4NxbLUJMi728TSpa/Q==" saltValue="D7k91PhwIiWXmKTyNHIT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P4iMojU1nKDIEWsZyfuITLMSLrmRP4/tsODDFuyPKjZuDNqo33P/oL6MfiGekMBkRbbhravoeAAj3GvbHwTw==" saltValue="0X62+gg5Dv4FxFjXfyaG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ARUCAS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4</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55</v>
      </c>
      <c r="O12" s="333"/>
      <c r="P12" s="333"/>
      <c r="Q12" s="225">
        <f>IF(ISNUMBER(Datos!P12),Datos!P12,0)</f>
        <v>228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120</v>
      </c>
      <c r="AI12" s="333" t="str">
        <f>IF(ISNUMBER(Datos!CD12),Datos!CD12,"-")</f>
        <v>-</v>
      </c>
      <c r="AJ12" s="333" t="str">
        <f>IF(ISNUMBER(Datos!EN12),Datos!EN12," - ")</f>
        <v xml:space="preserve"> - </v>
      </c>
      <c r="AK12" s="333"/>
      <c r="AL12" s="478"/>
      <c r="AM12" s="334">
        <f>IF(ISNUMBER(Datos!R12),Datos!R12," - ")</f>
        <v>4269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274</v>
      </c>
      <c r="BD12" s="228">
        <f>IF(ISNUMBER(Datos!N12),Datos!N12," - ")</f>
        <v>302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1.1145510835913313</v>
      </c>
      <c r="BH12" s="259">
        <f>IF(ISNUMBER(((IF(J_V="SI",Datos!L12/Datos!K12,(Datos!L12+Datos!AB12)/(Datos!K12+Datos!AA12)))*11)/factor_trimestre),((IF(J_V="SI",Datos!L12/Datos!K12,(Datos!L12+Datos!AB12)/(Datos!K12+Datos!AA12)))*11)/factor_trimestre," - ")</f>
        <v>5.7305555555555552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2.5462406918087918E-2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5</v>
      </c>
      <c r="G13" s="897">
        <f t="shared" si="0"/>
        <v>7</v>
      </c>
      <c r="H13" s="898">
        <f t="shared" si="0"/>
        <v>0</v>
      </c>
      <c r="I13" s="897">
        <f t="shared" si="0"/>
        <v>0</v>
      </c>
      <c r="J13" s="866">
        <f t="shared" si="0"/>
        <v>0</v>
      </c>
      <c r="K13" s="866">
        <f t="shared" si="0"/>
        <v>0</v>
      </c>
      <c r="L13" s="898">
        <f t="shared" si="0"/>
        <v>0</v>
      </c>
      <c r="M13" s="898">
        <f t="shared" si="0"/>
        <v>0</v>
      </c>
      <c r="N13" s="898">
        <f t="shared" si="0"/>
        <v>55</v>
      </c>
      <c r="O13" s="899">
        <f t="shared" si="0"/>
        <v>0</v>
      </c>
      <c r="P13" s="899">
        <f t="shared" si="0"/>
        <v>0</v>
      </c>
      <c r="Q13" s="898">
        <f t="shared" si="0"/>
        <v>228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122</v>
      </c>
      <c r="AD13" s="898">
        <f t="shared" si="1"/>
        <v>0</v>
      </c>
      <c r="AE13" s="898">
        <f t="shared" si="1"/>
        <v>0</v>
      </c>
      <c r="AF13" s="898">
        <f t="shared" si="1"/>
        <v>4</v>
      </c>
      <c r="AG13" s="898">
        <f t="shared" si="1"/>
        <v>0</v>
      </c>
      <c r="AH13" s="898">
        <f t="shared" si="1"/>
        <v>120</v>
      </c>
      <c r="AI13" s="898">
        <f t="shared" si="1"/>
        <v>0</v>
      </c>
      <c r="AJ13" s="898">
        <f t="shared" si="1"/>
        <v>0</v>
      </c>
      <c r="AK13" s="898">
        <f t="shared" si="1"/>
        <v>0</v>
      </c>
      <c r="AL13" s="898">
        <f t="shared" si="1"/>
        <v>0</v>
      </c>
      <c r="AM13" s="898">
        <f t="shared" si="1"/>
        <v>4272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275</v>
      </c>
      <c r="BD13" s="898">
        <f t="shared" si="1"/>
        <v>302</v>
      </c>
      <c r="BE13" s="898">
        <f t="shared" si="1"/>
        <v>0</v>
      </c>
      <c r="BF13" s="898">
        <f t="shared" si="1"/>
        <v>0</v>
      </c>
      <c r="BG13" s="898">
        <f>IF(ISNUMBER(Datos!K13/Datos!J13),Datos!K13/Datos!J13," - ")</f>
        <v>1.1472081218274113</v>
      </c>
      <c r="BH13" s="902">
        <f>IF(ISNUMBER(((Datos!L13/Datos!K13)*11)/factor_trimestre),((Datos!L13/Datos!K13)*11)/factor_trimestre," - ")</f>
        <v>5.7433628318584073</v>
      </c>
      <c r="BI13" s="898">
        <f>IF(ISNUMBER('Resol  Asuntos'!D13/NºAsuntos!G13),'Resol  Asuntos'!D13/NºAsuntos!G13," - ")</f>
        <v>0.38141470180305131</v>
      </c>
      <c r="BJ13" s="898" t="str">
        <f>IF(ISNUMBER(Datos!CI13/Datos!CJ13),Datos!CI13/Datos!CJ13," - ")</f>
        <v xml:space="preserve"> - </v>
      </c>
      <c r="BK13" s="898">
        <f>SUBTOTAL(9,BK8:BK12)</f>
        <v>0</v>
      </c>
      <c r="BL13" s="898">
        <f>IF(ISNUMBER((I13-AB13+L13)/(F13)),(I13-AB13+L13)/(F13)," - ")</f>
        <v>-0.2</v>
      </c>
      <c r="BM13" s="903">
        <f>SUBTOTAL(9,BM9:BM12)</f>
        <v>2.5462406918087918E-2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1008</v>
      </c>
      <c r="G16" s="597">
        <f>IF(ISNUMBER(IF(D_I="SI",Datos!I16,Datos!I16+Datos!AC16)),IF(D_I="SI",Datos!I16,Datos!I16+Datos!AC16)," - ")</f>
        <v>1006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484</v>
      </c>
      <c r="AC16" s="225">
        <f>IF(ISNUMBER(Datos!Q16),Datos!Q16," - ")</f>
        <v>38</v>
      </c>
      <c r="AD16" s="333"/>
      <c r="AE16" s="483"/>
      <c r="AF16" s="595">
        <f>IF(ISNUMBER(IF(D_I="SI",Datos!L16,Datos!L16+Datos!AF16)),IF(D_I="SI",Datos!L16,Datos!L16+Datos!AF16)," - ")</f>
        <v>1111</v>
      </c>
      <c r="AG16" s="333"/>
      <c r="AH16" s="333"/>
      <c r="AI16" s="333"/>
      <c r="AJ16" s="333"/>
      <c r="AK16" s="333"/>
      <c r="AL16" s="478"/>
      <c r="AM16" s="334">
        <f>IF(ISNUMBER(Datos!R16),Datos!R16," - ")</f>
        <v>133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v>
      </c>
      <c r="BD16" s="228">
        <f>IF(ISNUMBER(Datos!N16),Datos!N16," - ")</f>
        <v>271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0.82453151618398635</v>
      </c>
      <c r="BH16" s="259">
        <f>IF(ISNUMBER(((IF(D_I="SI",Datos!L16/Datos!K16,(Datos!L16+Datos!AF16)/(Datos!K16+Datos!AE16)))*11)/factor_trimestre),((IF(D_I="SI",Datos!L16/Datos!K16,(Datos!L16+Datos!AF16)/(Datos!K16+Datos!AE16)))*11)/factor_trimestre," - ")</f>
        <v>4.5909090909090908</v>
      </c>
      <c r="BI16" s="242">
        <f>IF(ISNUMBER('Resol  Asuntos'!D16/NºAsuntos!G16),'Resol  Asuntos'!D16/NºAsuntos!G16," - ")</f>
        <v>0.11983471074380166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26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17.333333333333332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1008</v>
      </c>
      <c r="G18" s="897">
        <f>SUBTOTAL(9,G15:G17)</f>
        <v>1035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487</v>
      </c>
      <c r="AC18" s="898">
        <f t="shared" si="4"/>
        <v>38</v>
      </c>
      <c r="AD18" s="898">
        <f t="shared" si="4"/>
        <v>0</v>
      </c>
      <c r="AE18" s="898">
        <f t="shared" si="4"/>
        <v>0</v>
      </c>
      <c r="AF18" s="898">
        <f t="shared" si="4"/>
        <v>1137</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273</v>
      </c>
      <c r="BE18" s="898">
        <f t="shared" si="4"/>
        <v>0</v>
      </c>
      <c r="BF18" s="898">
        <f t="shared" si="4"/>
        <v>0</v>
      </c>
      <c r="BG18" s="898">
        <f>IF(ISNUMBER(Datos!K18/Datos!J18),Datos!K18/Datos!J18," - ")</f>
        <v>0.82964224872231684</v>
      </c>
      <c r="BH18" s="902">
        <f>IF(ISNUMBER(((Datos!L18/Datos!K18)*11)/factor_trimestre),((Datos!L18/Datos!K18)*11)/factor_trimestre," - ")</f>
        <v>4.669404517453799</v>
      </c>
      <c r="BI18" s="898">
        <f>SUBTOTAL(9,BI15:BI17)</f>
        <v>0.11983471074380166</v>
      </c>
      <c r="BJ18" s="898">
        <f>SUBTOTAL(9,BJ15:BJ17)</f>
        <v>0</v>
      </c>
      <c r="BK18" s="898">
        <f>SUBTOTAL(9,BK15:BK17)</f>
        <v>0</v>
      </c>
      <c r="BL18" s="898">
        <f>IF(ISNUMBER((I18-AB18+L18)/(F18)),(I18-AB18+L18)/(F18)," - ")</f>
        <v>-0.48313492063492064</v>
      </c>
      <c r="BM18" s="904">
        <f>IF(ISNUMBER((Datos!P18-Datos!Q18)/(Datos!R18-Datos!P18+Datos!Q18)),(Datos!P18-Datos!Q18)/(Datos!R18-Datos!P18+Datos!Q18)," - ")</f>
        <v>-0.1728395061728395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1013</v>
      </c>
      <c r="G19" s="819">
        <f t="shared" si="6"/>
        <v>1042</v>
      </c>
      <c r="H19" s="821">
        <f t="shared" si="6"/>
        <v>0</v>
      </c>
      <c r="I19" s="819">
        <f t="shared" si="6"/>
        <v>0</v>
      </c>
      <c r="J19" s="821">
        <f t="shared" si="6"/>
        <v>0</v>
      </c>
      <c r="K19" s="821">
        <f t="shared" si="6"/>
        <v>0</v>
      </c>
      <c r="L19" s="880">
        <f t="shared" si="6"/>
        <v>0</v>
      </c>
      <c r="M19" s="880">
        <f t="shared" si="6"/>
        <v>0</v>
      </c>
      <c r="N19" s="880">
        <f t="shared" si="6"/>
        <v>55</v>
      </c>
      <c r="O19" s="880">
        <f t="shared" si="6"/>
        <v>0</v>
      </c>
      <c r="P19" s="880">
        <f t="shared" si="6"/>
        <v>0</v>
      </c>
      <c r="Q19" s="821">
        <f t="shared" si="6"/>
        <v>238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488</v>
      </c>
      <c r="AC19" s="820">
        <f t="shared" si="7"/>
        <v>160</v>
      </c>
      <c r="AD19" s="820">
        <f t="shared" si="7"/>
        <v>0</v>
      </c>
      <c r="AE19" s="820">
        <f t="shared" si="7"/>
        <v>0</v>
      </c>
      <c r="AF19" s="827">
        <f t="shared" si="7"/>
        <v>1141</v>
      </c>
      <c r="AG19" s="827">
        <f t="shared" si="7"/>
        <v>0</v>
      </c>
      <c r="AH19" s="827">
        <f t="shared" si="7"/>
        <v>120</v>
      </c>
      <c r="AI19" s="827">
        <f t="shared" si="7"/>
        <v>0</v>
      </c>
      <c r="AJ19" s="820">
        <f t="shared" si="7"/>
        <v>0</v>
      </c>
      <c r="AK19" s="827">
        <f t="shared" si="7"/>
        <v>0</v>
      </c>
      <c r="AL19" s="827">
        <f t="shared" si="7"/>
        <v>0</v>
      </c>
      <c r="AM19" s="827">
        <f t="shared" si="7"/>
        <v>4406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333</v>
      </c>
      <c r="BD19" s="819">
        <f t="shared" si="7"/>
        <v>575</v>
      </c>
      <c r="BE19" s="819">
        <f t="shared" si="7"/>
        <v>0</v>
      </c>
      <c r="BF19" s="829">
        <f t="shared" si="7"/>
        <v>0</v>
      </c>
      <c r="BG19" s="914">
        <f>IF(ISNUMBER(Datos!K19/Datos!J19),Datos!K19/Datos!J19," - ")</f>
        <v>0.98896434634974528</v>
      </c>
      <c r="BH19" s="914">
        <f>IF(ISNUMBER(((Datos!L19/Datos!K19)*11)/factor_trimestre),((Datos!L19/Datos!K19)*11)/factor_trimestre," - ")</f>
        <v>5.294420600858369</v>
      </c>
      <c r="BI19" s="812">
        <f>IF(ISNUMBER(Datos!J19/Datos!I19),Datos!J19/Datos!I19," - ")</f>
        <v>0.38371335504885995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-0.48173741362290229</v>
      </c>
      <c r="BM19" s="888">
        <f>IF(ISNUMBER((Datos!P19-Datos!Q19+R19)/(Datos!R19-Datos!P19+Datos!Q19-R19)),(Datos!P19-Datos!Q19+R19)/(Datos!R19-Datos!P19+Datos!Q19-R19)," - ")</f>
        <v>1.8022181146025877E-2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579.08231999719465</v>
      </c>
      <c r="G21" s="551">
        <f>IF(ISNUMBER(STDEV(G8:G18)),STDEV(G8:G18),"-")</f>
        <v>551.26871850305452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265.00981113913497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129.23157508906249</v>
      </c>
      <c r="BD21" s="550"/>
      <c r="BE21" s="550">
        <f>IF(ISNUMBER(STDEV(BE8:BE18)),STDEV(BE8:BE18),"-")</f>
        <v>0</v>
      </c>
      <c r="BF21" s="555">
        <f>IF(ISNUMBER(STDEV(BF8:BF18)),STDEV(BF8:BF18),"-")</f>
        <v>0</v>
      </c>
      <c r="BG21" s="774">
        <f>IF(ISNUMBER(STDEV(BG8:BG18)),STDEV(BG8:BG18),"-")</f>
        <v>0.17591315826034762</v>
      </c>
      <c r="BH21" s="775">
        <f>IF(ISNUMBER(STDEV(BH8:BH18)),STDEV(BH8:BH18),"-")</f>
        <v>4.8876637290515337</v>
      </c>
      <c r="BI21" s="248">
        <f>IF(ISNUMBER(STDEV(BI8:BI18)),STDEV(BI8:BI18),"-")</f>
        <v>0.16099846634743811</v>
      </c>
      <c r="BJ21" s="229" t="str">
        <f>IF(ISNUMBER(BL21/BM21),BL21/BM21," - ")</f>
        <v xml:space="preserve"> - </v>
      </c>
      <c r="BK21" s="574"/>
      <c r="BL21" s="558">
        <f>IF(ISNUMBER(STDEV(BL8:BL18)),STDEV(BL8:BL18),"-")</f>
        <v>0.20020662237166739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UNHnDmJf+7J+LXEs7Rs2pRO41S590e+oheLnaR2EqPue7nJmIlQoIAr6tE3e1vqqgR/XinIWWuHWBeopQ4XHQ==" saltValue="nrt+vBYkd6Am/JZSiWR2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ARUCAS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4</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122</v>
      </c>
      <c r="AA12" s="331" t="str">
        <f>IF(ISNUMBER(IF(J_V="SI",Datos!L12,Datos!L12+Datos!AB12)-IF(Monitorios="SI",Datos!CD12,0)),
                          IF(J_V="SI",Datos!L12,Datos!L12+Datos!AB12)-IF(Monitorios="SI",Datos!CD12,0),
                          " - ")</f>
        <v xml:space="preserve"> - </v>
      </c>
      <c r="AB12" s="333"/>
      <c r="AC12" s="333"/>
      <c r="AD12" s="483"/>
      <c r="AE12" s="483">
        <f>IF(ISNUMBER(Datos!R12),Datos!R12," - ")</f>
        <v>4269</v>
      </c>
      <c r="AF12" s="228" t="str">
        <f>IF(ISNUMBER(Datos!BV12),Datos!BV12," - ")</f>
        <v xml:space="preserve"> - </v>
      </c>
      <c r="AG12" s="224" t="str">
        <f>IF(ISNUMBER(Datos!DV12),Datos!DV12," - ")</f>
        <v xml:space="preserve"> - </v>
      </c>
      <c r="AH12" s="297"/>
      <c r="AI12" s="226"/>
      <c r="AJ12" s="224">
        <f>IF(ISNUMBER(Datos!M12),Datos!M12," - ")</f>
        <v>274</v>
      </c>
      <c r="AK12" s="228">
        <f>IF(ISNUMBER(Datos!N12),Datos!N12," - ")</f>
        <v>302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5.7305555555555552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2.5462406918087918E-2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5</v>
      </c>
      <c r="G13" s="897">
        <f>SUBTOTAL(9,G8:G12)</f>
        <v>7</v>
      </c>
      <c r="H13" s="907"/>
      <c r="I13" s="897">
        <f t="shared" ref="I13:N13" si="0">SUBTOTAL(9,I8:I12)</f>
        <v>0</v>
      </c>
      <c r="J13" s="866">
        <f t="shared" si="0"/>
        <v>0</v>
      </c>
      <c r="K13" s="907">
        <f t="shared" si="0"/>
        <v>0</v>
      </c>
      <c r="L13" s="907">
        <f t="shared" si="0"/>
        <v>0</v>
      </c>
      <c r="M13" s="907">
        <f t="shared" si="0"/>
        <v>0</v>
      </c>
      <c r="N13" s="907">
        <f t="shared" si="0"/>
        <v>228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122</v>
      </c>
      <c r="AA13" s="899">
        <f t="shared" si="2"/>
        <v>4</v>
      </c>
      <c r="AB13" s="899">
        <f t="shared" si="2"/>
        <v>0</v>
      </c>
      <c r="AC13" s="899">
        <f t="shared" si="2"/>
        <v>0</v>
      </c>
      <c r="AD13" s="899">
        <f t="shared" si="2"/>
        <v>0</v>
      </c>
      <c r="AE13" s="899">
        <f t="shared" si="2"/>
        <v>4272</v>
      </c>
      <c r="AF13" s="907">
        <f t="shared" si="2"/>
        <v>0</v>
      </c>
      <c r="AG13" s="907">
        <f t="shared" si="2"/>
        <v>0</v>
      </c>
      <c r="AH13" s="907">
        <f t="shared" si="2"/>
        <v>0</v>
      </c>
      <c r="AI13" s="907">
        <f t="shared" si="2"/>
        <v>0</v>
      </c>
      <c r="AJ13" s="907">
        <f t="shared" si="2"/>
        <v>275</v>
      </c>
      <c r="AK13" s="907">
        <f t="shared" si="2"/>
        <v>302</v>
      </c>
      <c r="AL13" s="907">
        <f t="shared" si="2"/>
        <v>0</v>
      </c>
      <c r="AM13" s="907">
        <f t="shared" si="2"/>
        <v>0</v>
      </c>
      <c r="AN13" s="907">
        <f t="shared" si="2"/>
        <v>0</v>
      </c>
      <c r="AO13" s="903">
        <f>IF(ISNUMBER(((NºAsuntos!I13/NºAsuntos!G13)*11)/factor_trimestre),((NºAsuntos!I13/NºAsuntos!G13)*11)/factor_trimestre," - ")</f>
        <v>5.7337031900138697</v>
      </c>
      <c r="AP13" s="909" t="str">
        <f>IF(ISNUMBER(Datos!CI13/Datos!CJ13),Datos!CI13/Datos!CJ13," - ")</f>
        <v xml:space="preserve"> - </v>
      </c>
      <c r="AQ13" s="927">
        <f t="shared" ref="AQ13:AV13" si="3">SUBTOTAL(9,AQ9:AQ12)</f>
        <v>0</v>
      </c>
      <c r="AR13" s="927">
        <f t="shared" si="3"/>
        <v>2.5462406918087918E-2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1008</v>
      </c>
      <c r="G16" s="224">
        <f>IF(ISNUMBER(IF(D_I="SI",Datos!I16,Datos!I16+Datos!AC16)),IF(D_I="SI",Datos!I16,Datos!I16+Datos!AC16)," - ")</f>
        <v>1006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484</v>
      </c>
      <c r="Z16" s="618">
        <f>IF(ISNUMBER(Datos!Q16),Datos!Q16," - ")</f>
        <v>38</v>
      </c>
      <c r="AA16" s="331">
        <f>IF(ISNUMBER(IF(D_I="SI",Datos!L16,Datos!L16+Datos!AF16)),IF(D_I="SI",Datos!L16,Datos!L16+Datos!AF16)," - ")</f>
        <v>1111</v>
      </c>
      <c r="AB16" s="333"/>
      <c r="AC16" s="333"/>
      <c r="AD16" s="483"/>
      <c r="AE16" s="483">
        <f>IF(ISNUMBER(Datos!R16),Datos!R16," - ")</f>
        <v>133</v>
      </c>
      <c r="AF16" s="228" t="str">
        <f>IF(ISNUMBER(Datos!BV16),Datos!BV16," - ")</f>
        <v xml:space="preserve"> - </v>
      </c>
      <c r="AG16" s="224"/>
      <c r="AH16" s="297"/>
      <c r="AI16" s="226"/>
      <c r="AJ16" s="224">
        <f>IF(ISNUMBER(Datos!M16),Datos!M16," - ")</f>
        <v>58</v>
      </c>
      <c r="AK16" s="228">
        <f>IF(ISNUMBER(Datos!N16),Datos!N16," - ")</f>
        <v>271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4.5909090909090908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26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17.333333333333332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1008</v>
      </c>
      <c r="G18" s="897">
        <f>SUBTOTAL(9,G15:G17)</f>
        <v>1035</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487</v>
      </c>
      <c r="Z18" s="931">
        <f t="shared" si="5"/>
        <v>38</v>
      </c>
      <c r="AA18" s="931">
        <f t="shared" si="5"/>
        <v>1137</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58</v>
      </c>
      <c r="AK18" s="931">
        <f t="shared" si="5"/>
        <v>273</v>
      </c>
      <c r="AL18" s="931">
        <f t="shared" si="5"/>
        <v>0</v>
      </c>
      <c r="AM18" s="931">
        <f t="shared" si="5"/>
        <v>0</v>
      </c>
      <c r="AN18" s="931">
        <f t="shared" si="5"/>
        <v>0</v>
      </c>
      <c r="AO18" s="933">
        <f>IF(ISNUMBER(((NºAsuntos!I18/NºAsuntos!G18)*11)/factor_trimestre),((NºAsuntos!I18/NºAsuntos!G18)*11)/factor_trimestre," - ")</f>
        <v>4.669404517453799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1013</v>
      </c>
      <c r="G19" s="819">
        <f t="shared" si="7"/>
        <v>1042</v>
      </c>
      <c r="H19" s="820">
        <f t="shared" si="7"/>
        <v>0</v>
      </c>
      <c r="I19" s="819">
        <f t="shared" si="7"/>
        <v>0</v>
      </c>
      <c r="J19" s="821">
        <f t="shared" si="7"/>
        <v>0</v>
      </c>
      <c r="K19" s="819">
        <f t="shared" si="7"/>
        <v>0</v>
      </c>
      <c r="L19" s="822">
        <f t="shared" si="7"/>
        <v>0</v>
      </c>
      <c r="M19" s="819">
        <f t="shared" si="7"/>
        <v>0</v>
      </c>
      <c r="N19" s="820">
        <f t="shared" si="7"/>
        <v>238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488</v>
      </c>
      <c r="Z19" s="826">
        <f t="shared" si="8"/>
        <v>160</v>
      </c>
      <c r="AA19" s="827">
        <f t="shared" si="8"/>
        <v>1141</v>
      </c>
      <c r="AB19" s="827">
        <f t="shared" si="8"/>
        <v>0</v>
      </c>
      <c r="AC19" s="827">
        <f t="shared" si="8"/>
        <v>0</v>
      </c>
      <c r="AD19" s="828">
        <f t="shared" si="8"/>
        <v>0</v>
      </c>
      <c r="AE19" s="828">
        <f t="shared" si="8"/>
        <v>4406</v>
      </c>
      <c r="AF19" s="829">
        <f t="shared" si="8"/>
        <v>0</v>
      </c>
      <c r="AG19" s="830">
        <f t="shared" si="8"/>
        <v>0</v>
      </c>
      <c r="AH19" s="831">
        <f t="shared" si="8"/>
        <v>0</v>
      </c>
      <c r="AI19" s="829">
        <f t="shared" si="8"/>
        <v>0</v>
      </c>
      <c r="AJ19" s="819">
        <f t="shared" si="8"/>
        <v>333</v>
      </c>
      <c r="AK19" s="819">
        <f t="shared" si="8"/>
        <v>575</v>
      </c>
      <c r="AL19" s="819">
        <f t="shared" si="8"/>
        <v>0</v>
      </c>
      <c r="AM19" s="832">
        <f t="shared" si="8"/>
        <v>0</v>
      </c>
      <c r="AN19" s="822">
        <f>IF(ISNUMBER(Datos!K19/Datos!J19),Datos!K19/Datos!J19," - ")</f>
        <v>0.98896434634974528</v>
      </c>
      <c r="AO19" s="822">
        <f>IF(ISNUMBER(FIND("06",Criterios!A8,1)),(IF(ISNUMBER(((Datos!R19/Datos!Q19)*11)/factor_trimestre),((Datos!R19/Datos!Q19)*11)/factor_trimestre," - ")),(IF(ISNUMBER(((Datos!L19/Datos!K19)*11)/factor_trimestre),((Datos!L19/Datos!K19)*11)/factor_trimestre," - ")))</f>
        <v>5.294420600858369</v>
      </c>
      <c r="AP19" s="833" t="str">
        <f>IF(ISNUMBER(Datos!CI19/Datos!CJ19),Datos!CI19/Datos!CJ19," - ")</f>
        <v xml:space="preserve"> - </v>
      </c>
      <c r="AQ19" s="833">
        <f>IF(OR(ISNUMBER(FIND("01",Criterios!A8,1)),ISNUMBER(FIND("02",Criterios!A8,1)),ISNUMBER(FIND("03",Criterios!A8,1)),ISNUMBER(FIND("04",Criterios!A8,1))),(J19-Y19+K19)/(F19-K19),(I19-Y19+K19)/(F19-K19))</f>
        <v>-0.48173741362290229</v>
      </c>
      <c r="AR19" s="833">
        <f>IF(ISNUMBER((Datos!P19-Datos!Q19+O19)/(Datos!R19-Datos!P19+Datos!Q19-O19)),(Datos!P19-Datos!Q19+O19)/(Datos!R19-Datos!P19+Datos!Q19-O19)," - ")</f>
        <v>1.8022181146025877E-2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579.08231999719465</v>
      </c>
      <c r="G21" s="551">
        <f>IF(ISNUMBER(STDEV(G8:G18)),STDEV(G8:G18),"-")</f>
        <v>551.26871850305452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129.23157508906249</v>
      </c>
      <c r="AK21" s="251"/>
      <c r="AL21" s="251">
        <f>IF(ISNUMBER(STDEV(AL8:AL18)),STDEV(AL8:AL18),"-")</f>
        <v>0</v>
      </c>
      <c r="AM21" s="253">
        <f>IF(ISNUMBER(STDEV(AM8:AM18)),STDEV(AM8:AM18),"-")</f>
        <v>0</v>
      </c>
      <c r="AN21" s="538">
        <f>IF(ISNUMBER(STDEV(AN8:AN18)),STDEV(AN8:AN18),"-")</f>
        <v>0</v>
      </c>
      <c r="AO21" s="539">
        <f>IF(ISNUMBER(STDEV(AO8:AO18)),STDEV(AO8:AO18),"-")</f>
        <v>4.8884299279699572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i8hH43yPHCchnR7Acqahy9zYT0MGl2DhZtlychypPe9T8XG+knDZibrGWpIKIl/Z+DgarslRmJFfurE4q6hsw==" saltValue="tYIzm7C7oPIBVgPOumcE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ZJEW9HORVzlXIg3a89R6uh/G3OsRUixzrLFIuFccwPOFpRoHrsA24hjzTK43EhUmDZRg6QOmThE4Vmmr+AjA==" saltValue="/LpU3M5Kom/KqulCTd6f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2oHsdXRcgrExQefW+hsz48HMZGrdK0TWug4m2FXx3KCt2vwwuhEDpAC8Rvz951mESBlmjBUxBXcd9QPpAQmw==" saltValue="JQIA1VSHpg2J4SsQimys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ARUCAS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0.38141470180305131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0.2697009220891825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7NwLwsrnxCZZUG7we6ciXabWw7qu9F+M8NxGvjqlrLBUcUD/+FcYZsWSzs2mH9YJUr4pUgPKL3KjznQmg46qQ==" saltValue="nPiWnAnZAGAUIDK5suEB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sb/xGFYBc7GAmYSWq1ShEQYSHky7TLhFE+vlZacsDFqZcwuKgi3UIdUSacmRJa+gZNdC1jO+UpWPYSPW8nA==" saltValue="FrZcwRxrd8DOhqWhh8UM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ARUCAS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0</v>
      </c>
      <c r="F10" s="403">
        <f>IF(ISNUMBER(E10/B10),E10/B10," - ")</f>
        <v>0</v>
      </c>
      <c r="G10" s="402">
        <f>IF(ISNUMBER(Datos!K10),Datos!K10," - ")</f>
        <v>1</v>
      </c>
      <c r="H10" s="403">
        <f>IF(ISNUMBER(G10/B10),G10/B10," - ")</f>
        <v>1</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2136</v>
      </c>
      <c r="D12" s="403">
        <f>IF(ISNUMBER(C12/Datos!BH12),C12/Datos!BH12," - ")</f>
        <v>712</v>
      </c>
      <c r="E12" s="402">
        <f>IF(ISNUMBER(IF(J_V="SI",Datos!J12,Datos!J12+Datos!Z12)),IF(J_V="SI",Datos!J12,Datos!J12+Datos!Z12)," - ")</f>
        <v>646</v>
      </c>
      <c r="F12" s="403">
        <f>IF(ISNUMBER(E12/B12),E12/B12," - ")</f>
        <v>215.33333333333334</v>
      </c>
      <c r="G12" s="402">
        <f>IF(ISNUMBER(IF(J_V="SI",Datos!K12,Datos!K12+Datos!AA12)),IF(J_V="SI",Datos!K12,Datos!K12+Datos!AA12)," - ")</f>
        <v>720</v>
      </c>
      <c r="H12" s="403">
        <f>IF(ISNUMBER(G12/B12),G12/B12," - ")</f>
        <v>240</v>
      </c>
      <c r="I12" s="402">
        <f>IF(ISNUMBER(IF(J_V="SI",Datos!L12,Datos!L12+Datos!AB12)),IF(J_V="SI",Datos!L12,Datos!L12+Datos!AB12)," - ")</f>
        <v>2063</v>
      </c>
      <c r="J12" s="403">
        <f>IF(ISNUMBER(I12/B12),I12/B12," - ")</f>
        <v>687.66666666666663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2143</v>
      </c>
      <c r="D13" s="849" t="str">
        <f>IF(ISNUMBER(C13/Datos!BI13),C13/Datos!BI13," - ")</f>
        <v xml:space="preserve"> - </v>
      </c>
      <c r="E13" s="848">
        <f>SUBTOTAL(9,E8:E12)</f>
        <v>646</v>
      </c>
      <c r="F13" s="849">
        <f>IF(ISNUMBER(E13/B13),E13/B13," - ")</f>
        <v>215.33333333333334</v>
      </c>
      <c r="G13" s="848">
        <f>SUBTOTAL(9,G8:G12)</f>
        <v>721</v>
      </c>
      <c r="H13" s="849">
        <f>IF(ISNUMBER(G13/B13),G13/B13," - ")</f>
        <v>240.33333333333334</v>
      </c>
      <c r="I13" s="848">
        <f>SUBTOTAL(9,I8:I12)</f>
        <v>2067</v>
      </c>
      <c r="J13" s="849">
        <f>IF(ISNUMBER(I13/B13),I13/B13," - ")</f>
        <v>689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1006</v>
      </c>
      <c r="D16" s="403">
        <f>IF(ISNUMBER(C16/Datos!BH16),C16/Datos!BH16," - ")</f>
        <v>335.33333333333331</v>
      </c>
      <c r="E16" s="402">
        <f>IF(ISNUMBER(IF(D_I="SI",Datos!J16,Datos!J16+Datos!AD16)),IF(D_I="SI",Datos!J16,Datos!J16+Datos!AD16)," - ")</f>
        <v>587</v>
      </c>
      <c r="F16" s="403">
        <f>IF(ISNUMBER(E16/B16),E16/B16," - ")</f>
        <v>195.66666666666666</v>
      </c>
      <c r="G16" s="402">
        <f>IF(ISNUMBER(IF(D_I="SI",Datos!K16,Datos!K16+Datos!AE16)),IF(D_I="SI",Datos!K16,Datos!K16+Datos!AE16)," - ")</f>
        <v>484</v>
      </c>
      <c r="H16" s="403">
        <f>IF(ISNUMBER(G16/B16),G16/B16," - ")</f>
        <v>161.33333333333334</v>
      </c>
      <c r="I16" s="402">
        <f>IF(ISNUMBER(IF(D_I="SI",Datos!L16,Datos!L16+Datos!AF16)),IF(D_I="SI",Datos!L16,Datos!L16+Datos!AF16)," - ")</f>
        <v>1111</v>
      </c>
      <c r="J16" s="403">
        <f>IF(ISNUMBER(I16/B16),I16/B16," - ")</f>
        <v>370.33333333333331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1035</v>
      </c>
      <c r="D18" s="849" t="str">
        <f>IF(ISNUMBER(C18/Datos!BI18),C18/Datos!BI18," - ")</f>
        <v xml:space="preserve"> - </v>
      </c>
      <c r="E18" s="848">
        <f>SUBTOTAL(9,E14:E17)</f>
        <v>587</v>
      </c>
      <c r="F18" s="849">
        <f>IF(ISNUMBER(E18/B18),E18/B18," - ")</f>
        <v>195.66666666666666</v>
      </c>
      <c r="G18" s="848">
        <f>SUBTOTAL(9,G14:G17)</f>
        <v>487</v>
      </c>
      <c r="H18" s="849">
        <f>IF(ISNUMBER(G18/B18),G18/B18," - ")</f>
        <v>162.33333333333334</v>
      </c>
      <c r="I18" s="848">
        <f>SUBTOTAL(9,I14:I17)</f>
        <v>1137</v>
      </c>
      <c r="J18" s="849">
        <f>IF(ISNUMBER(I18/B18),I18/B18," - ")</f>
        <v>379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3178</v>
      </c>
      <c r="D19" s="794" t="str">
        <f>IF(ISNUMBER(C19/Datos!BI19),C19/Datos!BI19," - ")</f>
        <v xml:space="preserve"> - </v>
      </c>
      <c r="E19" s="793">
        <f>SUBTOTAL(9,E9:E18)</f>
        <v>1233</v>
      </c>
      <c r="F19" s="794">
        <f>IF(ISNUMBER(E19/B19),E19/B19," - ")</f>
        <v>411</v>
      </c>
      <c r="G19" s="793">
        <f>SUBTOTAL(9,G9:G18)</f>
        <v>1208</v>
      </c>
      <c r="H19" s="794">
        <f>IF(ISNUMBER(G19/B19),G19/B19," - ")</f>
        <v>402.66666666666669</v>
      </c>
      <c r="I19" s="793">
        <f>SUBTOTAL(9,I9:I18)</f>
        <v>3204</v>
      </c>
      <c r="J19" s="794">
        <f>IF(ISNUMBER(I19/B19),I19/B19," - ")</f>
        <v>1068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hjBQSI4b938ZGaLxFf4KXOf4A8PcmS6Mj70kK1BF1K+qW3pZtML8cefIjBT2i6rt9tm/j0K7AMRyJV+KHKPXg==" saltValue="a8k1xV6L0OuAVvh6oX69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ARUCAS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274</v>
      </c>
      <c r="AM12" s="689">
        <f>IF(ISNUMBER(Datos!N12+DatosP!N16),Datos!N12+DatosP!N16," - ")</f>
        <v>302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5.7305555555555552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2.5462406918087918E-2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v>
      </c>
      <c r="G13" s="937">
        <f t="shared" si="0"/>
        <v>7</v>
      </c>
      <c r="H13" s="937">
        <f t="shared" si="0"/>
        <v>0</v>
      </c>
      <c r="I13" s="939">
        <f t="shared" si="0"/>
        <v>0</v>
      </c>
      <c r="J13" s="938">
        <f t="shared" si="0"/>
        <v>0</v>
      </c>
      <c r="K13" s="938">
        <f t="shared" si="0"/>
        <v>0</v>
      </c>
      <c r="L13" s="940">
        <f t="shared" si="0"/>
        <v>0</v>
      </c>
      <c r="M13" s="940">
        <f t="shared" si="0"/>
        <v>0</v>
      </c>
      <c r="N13" s="938">
        <f t="shared" si="0"/>
        <v>228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122</v>
      </c>
      <c r="AE13" s="938">
        <f t="shared" si="1"/>
        <v>0</v>
      </c>
      <c r="AF13" s="938">
        <f t="shared" si="1"/>
        <v>4</v>
      </c>
      <c r="AG13" s="938">
        <f t="shared" si="1"/>
        <v>0</v>
      </c>
      <c r="AH13" s="938">
        <f t="shared" si="1"/>
        <v>4269</v>
      </c>
      <c r="AI13" s="938">
        <f t="shared" si="1"/>
        <v>0</v>
      </c>
      <c r="AJ13" s="938">
        <f t="shared" si="1"/>
        <v>0</v>
      </c>
      <c r="AK13" s="938">
        <f t="shared" si="1"/>
        <v>0</v>
      </c>
      <c r="AL13" s="938">
        <f t="shared" si="1"/>
        <v>275</v>
      </c>
      <c r="AM13" s="938">
        <f t="shared" si="1"/>
        <v>302</v>
      </c>
      <c r="AN13" s="938">
        <f t="shared" si="1"/>
        <v>0</v>
      </c>
      <c r="AO13" s="938">
        <f t="shared" si="1"/>
        <v>0</v>
      </c>
      <c r="AP13" s="943">
        <f>IF(ISNUMBER(((Datos!L13/Datos!K13)*11)/factor_trimestre),((Datos!L13/Datos!K13)*11)/factor_trimestre," - ")</f>
        <v>5.7433628318584073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2.5462406918087918E-2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4.669404517453799</v>
      </c>
      <c r="AQ18" s="943">
        <f>IF(ISNUMBER(((Datos!M18/Datos!L18)*11)/factor_trimestre),((Datos!M18/Datos!L18)*11)/factor_trimestre," - ")</f>
        <v>0.10202286719437113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-0.1728395061728395</v>
      </c>
      <c r="AW18" s="945">
        <f>IF(ISNUMBER((Datos!Q18-Datos!R18)/(Datos!S18-Datos!Q18+Datos!R18)),(Datos!Q18-Datos!R18)/(Datos!S18-Datos!Q18+Datos!R18)," - ")</f>
        <v>-0.10180275715800637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v>
      </c>
      <c r="G19" s="950">
        <f t="shared" si="4"/>
        <v>7</v>
      </c>
      <c r="H19" s="950">
        <f t="shared" si="4"/>
        <v>0</v>
      </c>
      <c r="I19" s="951">
        <f t="shared" si="4"/>
        <v>0</v>
      </c>
      <c r="J19" s="952">
        <f t="shared" si="4"/>
        <v>0</v>
      </c>
      <c r="K19" s="952">
        <f t="shared" si="4"/>
        <v>0</v>
      </c>
      <c r="L19" s="952">
        <f t="shared" si="4"/>
        <v>0</v>
      </c>
      <c r="M19" s="952">
        <f t="shared" si="4"/>
        <v>0</v>
      </c>
      <c r="N19" s="951">
        <f t="shared" si="4"/>
        <v>228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122</v>
      </c>
      <c r="AE19" s="956">
        <f t="shared" si="5"/>
        <v>0</v>
      </c>
      <c r="AF19" s="957">
        <f t="shared" si="5"/>
        <v>4</v>
      </c>
      <c r="AG19" s="957">
        <f t="shared" si="5"/>
        <v>0</v>
      </c>
      <c r="AH19" s="957">
        <f t="shared" si="5"/>
        <v>4269</v>
      </c>
      <c r="AI19" s="957">
        <f t="shared" si="5"/>
        <v>0</v>
      </c>
      <c r="AJ19" s="958">
        <f t="shared" si="5"/>
        <v>0</v>
      </c>
      <c r="AK19" s="958">
        <f t="shared" si="5"/>
        <v>0</v>
      </c>
      <c r="AL19" s="950">
        <f t="shared" si="5"/>
        <v>275</v>
      </c>
      <c r="AM19" s="950">
        <f t="shared" si="5"/>
        <v>302</v>
      </c>
      <c r="AN19" s="950">
        <f t="shared" si="5"/>
        <v>0</v>
      </c>
      <c r="AO19" s="950">
        <f t="shared" si="5"/>
        <v>0</v>
      </c>
      <c r="AP19" s="950">
        <f>IF(ISNUMBER(((Datos!L19/Datos!K19)*11)/factor_trimestre),((Datos!L19/Datos!K19)*11)/factor_trimestre," - ")</f>
        <v>5.294420600858369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1.8022181146025877E-2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2.8867513459481287</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158.19502731333455</v>
      </c>
      <c r="AM21" s="735"/>
      <c r="AN21" s="735">
        <f>IF(ISNUMBER(STDEV(AN8:AN18)),STDEV(AN8:AN18),"-")</f>
        <v>0</v>
      </c>
      <c r="AO21" s="741">
        <f>IF(ISNUMBER(STDEV(AO8:AO18)),STDEV(AO8:AO18),"-")</f>
        <v>0</v>
      </c>
      <c r="AP21" s="778">
        <f>IF(ISNUMBER(STDEV(AP8:AP18)),STDEV(AP8:AP18),"-")</f>
        <v>1.4028318881368955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KFXswLkMGj2vrFk7d5IKo/g9U+kJAK8asff7wwgB/wcFZVPuXE0rjhTaV2vS8keJvpmIbGZXOOX618hf+hHQ==" saltValue="7VGVDYoML8TALqwylZkm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ARUCAS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T2eGJwi8zkC+aDGXyj395VOR6GRSi6vWxlafv9GXDvZShUSc3EcdBhCpJAD0CI6ymkKJeyBnzqBiE7H3ZBNLRA==" saltValue="cj/Go+x0nlyF/Im/T/v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ARUCAS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274</v>
      </c>
      <c r="E12" s="403">
        <f t="shared" si="0"/>
        <v>91.333333333333329</v>
      </c>
      <c r="F12" s="402">
        <f>IF(ISNUMBER(Datos!N12),Datos!N12," - ")</f>
        <v>302</v>
      </c>
      <c r="G12" s="403">
        <f t="shared" si="1"/>
        <v>100.66666666666667</v>
      </c>
      <c r="H12" s="402">
        <f>IF(ISNUMBER(Datos!O12),Datos!O12," - ")</f>
        <v>260</v>
      </c>
      <c r="I12" s="403">
        <f t="shared" si="2"/>
        <v>86.666666666666671</v>
      </c>
      <c r="BZ12" s="1185">
        <f>Datos!EZ12</f>
        <v>0</v>
      </c>
    </row>
    <row r="13" spans="1:78" ht="14.25" thickTop="1" thickBot="1">
      <c r="A13" s="847" t="str">
        <f>Datos!A13</f>
        <v>TOTAL</v>
      </c>
      <c r="B13" s="848">
        <f>Datos!AP13</f>
        <v>3</v>
      </c>
      <c r="C13" s="850">
        <f>Datos!AR13</f>
        <v>3</v>
      </c>
      <c r="D13" s="848">
        <f>SUBTOTAL(9,D9:D12)</f>
        <v>275</v>
      </c>
      <c r="E13" s="849">
        <f t="shared" si="0"/>
        <v>91.666666666666671</v>
      </c>
      <c r="F13" s="848">
        <f>SUBTOTAL(9,F9:F12)</f>
        <v>302</v>
      </c>
      <c r="G13" s="849">
        <f t="shared" si="1"/>
        <v>100.66666666666667</v>
      </c>
      <c r="H13" s="848">
        <f>SUBTOTAL(9,H9:H12)</f>
        <v>260</v>
      </c>
      <c r="I13" s="849">
        <f>IF(ISNUMBER(H13/B13),H13/B13," - ")</f>
        <v>86.666666666666671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58</v>
      </c>
      <c r="E16" s="403">
        <f t="shared" si="3"/>
        <v>19.333333333333332</v>
      </c>
      <c r="F16" s="402">
        <f>IF(ISNUMBER(Datos!N16),Datos!N16," - ")</f>
        <v>271</v>
      </c>
      <c r="G16" s="403">
        <f t="shared" si="4"/>
        <v>90.333333333333329</v>
      </c>
      <c r="H16" s="402">
        <f>IF(ISNUMBER(Datos!O16),Datos!O16," - ")</f>
        <v>23</v>
      </c>
      <c r="I16" s="403">
        <f t="shared" si="5"/>
        <v>7.666666666666667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58</v>
      </c>
      <c r="E18" s="849">
        <f t="shared" si="3"/>
        <v>19.333333333333332</v>
      </c>
      <c r="F18" s="848">
        <f>SUBTOTAL(9,F15:F17)</f>
        <v>273</v>
      </c>
      <c r="G18" s="849">
        <f t="shared" si="4"/>
        <v>91</v>
      </c>
      <c r="H18" s="848">
        <f>SUBTOTAL(9,H15:H17)</f>
        <v>23</v>
      </c>
      <c r="I18" s="849">
        <f>IF(ISNUMBER(H18/B18),H18/B18," - ")</f>
        <v>7.666666666666667</v>
      </c>
      <c r="BZ18" s="1185"/>
    </row>
    <row r="19" spans="1:78" ht="14.25" thickTop="1" thickBot="1">
      <c r="A19" s="792" t="str">
        <f>Datos!A19</f>
        <v>TOTAL JURISDICCIONES</v>
      </c>
      <c r="B19" s="793">
        <f>Datos!AP19</f>
        <v>3</v>
      </c>
      <c r="C19" s="793">
        <f>Datos!AR19</f>
        <v>3</v>
      </c>
      <c r="D19" s="793">
        <f>SUBTOTAL(9,D8:D18)</f>
        <v>333</v>
      </c>
      <c r="E19" s="794">
        <f>IF(ISNUMBER(D19/B19),D19/B19," - ")</f>
        <v>111</v>
      </c>
      <c r="F19" s="793">
        <f>SUBTOTAL(9,F8:F18)</f>
        <v>575</v>
      </c>
      <c r="G19" s="794">
        <f>IF(ISNUMBER(F19/B19),F19/B19," - ")</f>
        <v>191.66666666666666</v>
      </c>
      <c r="H19" s="793">
        <f>SUBTOTAL(9,H8:H18)</f>
        <v>283</v>
      </c>
      <c r="I19" s="794">
        <f>IF(ISNUMBER(H19/B19),H19/B19," - ")</f>
        <v>94.333333333333329</v>
      </c>
    </row>
    <row r="22" spans="1:78">
      <c r="A22" s="390" t="str">
        <f>Criterios!A4</f>
        <v>Fecha Informe: 09 dic. 2025</v>
      </c>
    </row>
    <row r="27" spans="1:78">
      <c r="A27" s="413"/>
    </row>
  </sheetData>
  <sheetProtection algorithmName="SHA-512" hashValue="Bl3FkhR4a/+IjiqaCF0c0uN4kxPRlpmDzTy1ewHs2XOP3OGOOtUeBmSHhIBSVrVpQ5lOxFHQYglMnCWVl9Xibw==" saltValue="OIm9tYdIJo4AVVYUe9SH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ARUCAS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228</v>
      </c>
      <c r="C12" s="433">
        <f>IF(ISNUMBER(Datos!Q12),Datos!Q12," - ")</f>
        <v>122</v>
      </c>
      <c r="D12" s="407">
        <f>IF(ISNUMBER(Datos!R12),Datos!R12," - ")</f>
        <v>4269</v>
      </c>
    </row>
    <row r="13" spans="1:4" ht="14.25" thickTop="1" thickBot="1">
      <c r="A13" s="847" t="str">
        <f>Datos!A13</f>
        <v>TOTAL</v>
      </c>
      <c r="B13" s="848">
        <f>SUBTOTAL(9,B9:B12)</f>
        <v>228</v>
      </c>
      <c r="C13" s="852">
        <f>SUBTOTAL(9,C9:C12)</f>
        <v>122</v>
      </c>
      <c r="D13" s="850">
        <f>SUBTOTAL(9,D9:D12)</f>
        <v>4272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38</v>
      </c>
      <c r="D16" s="407">
        <f>IF(ISNUMBER(Datos!R16),Datos!R16," - ")</f>
        <v>133</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10</v>
      </c>
      <c r="C18" s="852">
        <f>SUBTOTAL(9,C15:C17)</f>
        <v>38</v>
      </c>
      <c r="D18" s="850">
        <f>SUBTOTAL(9,D15:D17)</f>
        <v>134</v>
      </c>
    </row>
    <row r="19" spans="1:4" ht="16.5" customHeight="1" thickTop="1" thickBot="1">
      <c r="A19" s="792" t="str">
        <f>Datos!A19</f>
        <v>TOTAL JURISDICCIONES</v>
      </c>
      <c r="B19" s="797">
        <f>SUBTOTAL(9,B8:B18)</f>
        <v>238</v>
      </c>
      <c r="C19" s="798">
        <f>SUBTOTAL(9,C8:C18)</f>
        <v>160</v>
      </c>
      <c r="D19" s="799">
        <f>SUBTOTAL(9,D8:D18)</f>
        <v>4406</v>
      </c>
    </row>
    <row r="20" spans="1:4" ht="7.5" customHeight="1"/>
    <row r="21" spans="1:4" ht="6" customHeight="1"/>
    <row r="22" spans="1:4">
      <c r="A22" s="390" t="str">
        <f>Criterios!A4</f>
        <v>Fecha Informe: 09 dic. 2025</v>
      </c>
    </row>
    <row r="27" spans="1:4">
      <c r="A27" s="413"/>
    </row>
  </sheetData>
  <sheetProtection algorithmName="SHA-512" hashValue="VTmFoY2T7mLLhiXOMYcYx71+3t/gEtEj1RTVkoJ3CxIv+uRu7hf0O8bfO1HGYrce3JlRK9M0F2Qp6RuLaA33VQ==" saltValue="NoYYb1wPqDJKCJH6dtLW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ARUCAS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-0.63157894736842102</v>
      </c>
      <c r="C10" s="455">
        <f>IF(ISNUMBER((Datos!J10-Datos!T10)/Datos!T10),(Datos!J10-Datos!T10)/Datos!T10," - ")</f>
        <v>-1</v>
      </c>
      <c r="D10" s="455" t="str">
        <f>IF(ISNUMBER((Datos!K10-Datos!U10)/Datos!U10),(Datos!K10-Datos!U10)/Datos!U10," - ")</f>
        <v xml:space="preserve"> - </v>
      </c>
      <c r="E10" s="455">
        <f>IF(ISNUMBER((Datos!L10-Datos!V10)/Datos!V10),(Datos!L10-Datos!V10)/Datos!V10," - ")</f>
        <v>-0.81818181818181823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0.1154046997389034</v>
      </c>
      <c r="C12" s="455">
        <f>IF(ISNUMBER(
   IF(J_V="SI",(Datos!J12-Datos!T12)/Datos!T12,(Datos!J12+Datos!Z12-(Datos!T12+Datos!AH12))/(Datos!T12+Datos!AH12))
     ),IF(J_V="SI",(Datos!J12-Datos!T12)/Datos!T12,(Datos!J12+Datos!Z12-(Datos!T12+Datos!AH12))/(Datos!T12+Datos!AH12))," - ")</f>
        <v>-0.43777197563098347</v>
      </c>
      <c r="D12" s="455">
        <f>IF(ISNUMBER(
   IF(J_V="SI",(Datos!K12-Datos!U12)/Datos!U12,(Datos!K12+Datos!AA12-(Datos!U12+Datos!AI12))/(Datos!U12+Datos!AI12))
     ),IF(J_V="SI",(Datos!K12-Datos!U12)/Datos!U12,(Datos!K12+Datos!AA12-(Datos!U12+Datos!AI12))/(Datos!U12+Datos!AI12))," - ")</f>
        <v>-0.38671209540034074</v>
      </c>
      <c r="E12" s="455">
        <f>IF(ISNUMBER(
   IF(J_V="SI",(Datos!L12-Datos!V12)/Datos!V12,(Datos!L12+Datos!AB12-(Datos!V12+Datos!AJ12))/(Datos!V12+Datos!AJ12))
     ),IF(J_V="SI",(Datos!L12-Datos!V12)/Datos!V12,(Datos!L12+Datos!AB12-(Datos!V12+Datos!AJ12))/(Datos!V12+Datos!AJ12))," - ")</f>
        <v>9.1534391534391538E-2</v>
      </c>
      <c r="F12" s="455">
        <f>IF(ISNUMBER((Datos!M12-Datos!W12)/Datos!W12),(Datos!M12-Datos!W12)/Datos!W12," - ")</f>
        <v>-6.8027210884353748E-2</v>
      </c>
      <c r="G12" s="456">
        <f>IF(ISNUMBER((Datos!N12-Datos!X12)/Datos!X12),(Datos!N12-Datos!X12)/Datos!X12," - ")</f>
        <v>-0.54722638680659674</v>
      </c>
      <c r="H12" s="454">
        <f>IF(ISNUMBER(((NºAsuntos!G12/NºAsuntos!E12)-Datos!BD12)/Datos!BD12),((NºAsuntos!G12/NºAsuntos!E12)-Datos!BD12)/Datos!BD12," - ")</f>
        <v>9.0817031555740654E-2</v>
      </c>
      <c r="I12" s="455">
        <f>IF(ISNUMBER(((NºAsuntos!I12/NºAsuntos!G12)-Datos!BE12)/Datos!BE12),((NºAsuntos!I12/NºAsuntos!G12)-Datos!BE12)/Datos!BE12," - ")</f>
        <v>0.77980746619635488</v>
      </c>
      <c r="J12" s="460">
        <f>IF(ISNUMBER((('Resol  Asuntos'!D12/NºAsuntos!G12)-Datos!BF12)/Datos!BF12),(('Resol  Asuntos'!D12/NºAsuntos!G12)-Datos!BF12)/Datos!BF12," - ")</f>
        <v>-0.33017657837747805</v>
      </c>
      <c r="K12" s="461">
        <f>IF(ISNUMBER((((NºAsuntos!C12+NºAsuntos!E12)/NºAsuntos!G12)-Datos!BG12)/Datos!BG12),(((NºAsuntos!C12+NºAsuntos!E12)/NºAsuntos!G12)-Datos!BG12)/Datos!BG12," - ")</f>
        <v>0.48048484189149998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0.10806618407445709</v>
      </c>
      <c r="C13" s="854">
        <f>IF(ISNUMBER(
   IF(J_V="SI",(Datos!J13-Datos!T13)/Datos!T13,(Datos!J13+Datos!Z13-(Datos!T13+Datos!AH13))/(Datos!T13+Datos!AH13))
     ),IF(J_V="SI",(Datos!J13-Datos!T13)/Datos!T13,(Datos!J13+Datos!Z13-(Datos!T13+Datos!AH13))/(Datos!T13+Datos!AH13))," - ")</f>
        <v>-0.4392361111111111</v>
      </c>
      <c r="D13" s="854">
        <f>IF(ISNUMBER(
   IF(J_V="SI",(Datos!K13-Datos!U13)/Datos!U13,(Datos!K13+Datos!AA13-(Datos!U13+Datos!AI13))/(Datos!U13+Datos!AI13))
     ),IF(J_V="SI",(Datos!K13-Datos!U13)/Datos!U13,(Datos!K13+Datos!AA13-(Datos!U13+Datos!AI13))/(Datos!U13+Datos!AI13))," - ")</f>
        <v>-0.38586030664395232</v>
      </c>
      <c r="E13" s="854">
        <f>IF(ISNUMBER(
   IF(J_V="SI",(Datos!L13-Datos!V13)/Datos!V13,(Datos!L13+Datos!AB13-(Datos!V13+Datos!AJ13))/(Datos!V13+Datos!AJ13))
     ),IF(J_V="SI",(Datos!L13-Datos!V13)/Datos!V13,(Datos!L13+Datos!AB13-(Datos!V13+Datos!AJ13))/(Datos!V13+Datos!AJ13))," - ")</f>
        <v>8.1066945606694557E-2</v>
      </c>
      <c r="F13" s="855">
        <f>IF(ISNUMBER((Datos!M13-Datos!W13)/Datos!W13),(Datos!M13-Datos!W13)/Datos!W13," - ")</f>
        <v>-6.4625850340136057E-2</v>
      </c>
      <c r="G13" s="856">
        <f>IF(ISNUMBER((Datos!N13-Datos!X13)/Datos!X13),(Datos!N13-Datos!X13)/Datos!X13," - ")</f>
        <v>-0.54722638680659674</v>
      </c>
      <c r="H13" s="856">
        <f>IF(ISNUMBER(((NºAsuntos!G13/NºAsuntos!E13)-Datos!BD13)/Datos!BD13),((NºAsuntos!G13/NºAsuntos!E13)-Datos!BD13)/Datos!BD13," - ")</f>
        <v>9.5184097130289302E-2</v>
      </c>
      <c r="I13" s="856">
        <f>IF(ISNUMBER(((NºAsuntos!I13/NºAsuntos!G13)-Datos!BE13)/Datos!BE13),((NºAsuntos!I13/NºAsuntos!G13)-Datos!BE13)/Datos!BE13," - ")</f>
        <v>0.76029486011409086</v>
      </c>
      <c r="J13" s="856">
        <f>IF(ISNUMBER((('Resol  Asuntos'!D13/NºAsuntos!G13)-Datos!BF13)/Datos!BF13),(('Resol  Asuntos'!D13/NºAsuntos!G13)-Datos!BF13)/Datos!BF13," - ")</f>
        <v>-0.32866437793585879</v>
      </c>
      <c r="K13" s="856">
        <f>IF(ISNUMBER((((NºAsuntos!C13+NºAsuntos!E13)/NºAsuntos!G13)-Datos!BG13)/Datos!BG13),(((NºAsuntos!C13+NºAsuntos!E13)/NºAsuntos!G13)-Datos!BG13)/Datos!BG13," - ")</f>
        <v>0.4715852451633839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0.28974358974358977</v>
      </c>
      <c r="C16" s="455">
        <f>IF(ISNUMBER(
   IF(D_I="SI",(Datos!J16-Datos!T16)/Datos!T16,(Datos!J16+Datos!AD16-(Datos!T16+Datos!AL16))/(Datos!T16+Datos!AL16))
     ),IF(D_I="SI",(Datos!J16-Datos!T16)/Datos!T16,(Datos!J16+Datos!AD16-(Datos!T16+Datos!AL16))/(Datos!T16+Datos!AL16))," - ")</f>
        <v>-6.08E-2</v>
      </c>
      <c r="D16" s="455">
        <f>IF(ISNUMBER(
   IF(D_I="SI",(Datos!K16-Datos!U16)/Datos!U16,(Datos!K16+Datos!AE16-(Datos!U16+Datos!AM16))/(Datos!U16+Datos!AM16))
     ),IF(D_I="SI",(Datos!K16-Datos!U16)/Datos!U16,(Datos!K16+Datos!AE16-(Datos!U16+Datos!AM16))/(Datos!U16+Datos!AM16))," - ")</f>
        <v>2.3255813953488372E-2</v>
      </c>
      <c r="E16" s="455">
        <f>IF(ISNUMBER(
   IF(D_I="SI",(Datos!L16-Datos!V16)/Datos!V16,(Datos!L16+Datos!AF16-(Datos!V16+Datos!AN16))/(Datos!V16+Datos!AN16))
     ),IF(D_I="SI",(Datos!L16-Datos!V16)/Datos!V16,(Datos!L16+Datos!AF16-(Datos!V16+Datos!AN16))/(Datos!V16+Datos!AN16))," - ")</f>
        <v>0.19206008583690987</v>
      </c>
      <c r="F16" s="455">
        <f>IF(ISNUMBER((Datos!M16-Datos!W16)/Datos!W16),(Datos!M16-Datos!W16)/Datos!W16," - ")</f>
        <v>-0.38947368421052631</v>
      </c>
      <c r="G16" s="456">
        <f>IF(ISNUMBER((Datos!N16-Datos!X16)/Datos!X16),(Datos!N16-Datos!X16)/Datos!X16," - ")</f>
        <v>7.5396825396825393E-2</v>
      </c>
      <c r="H16" s="454">
        <f>IF(ISNUMBER(((NºAsuntos!G16/NºAsuntos!E16)-Datos!BD16)/Datos!BD16),((NºAsuntos!G16/NºAsuntos!E16)-Datos!BD16)/Datos!BD16," - ")</f>
        <v>8.9497246543322292E-2</v>
      </c>
      <c r="I16" s="455">
        <f>IF(ISNUMBER(((NºAsuntos!I16/NºAsuntos!G16)-Datos!BE16)/Datos!BE16),((NºAsuntos!I16/NºAsuntos!G16)-Datos!BE16)/Datos!BE16," - ")</f>
        <v>0.16496781115879819</v>
      </c>
      <c r="J16" s="460">
        <f>IF(ISNUMBER((('Resol  Asuntos'!D16/NºAsuntos!G16)-Datos!BF16)/Datos!BF16),(('Resol  Asuntos'!D16/NºAsuntos!G16)-Datos!BF16)/Datos!BF16," - ")</f>
        <v>-0.40334928229665068</v>
      </c>
      <c r="K16" s="461">
        <f>IF(ISNUMBER((((NºAsuntos!C16+NºAsuntos!E16)/NºAsuntos!G16)-Datos!BG16)/Datos!BG16),(((NºAsuntos!C16+NºAsuntos!E16)/NºAsuntos!G16)-Datos!BG16)/Datos!BG16," - ")</f>
        <v>0.10803946942736978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-0.56716417910447758</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-0.875</v>
      </c>
      <c r="E17" s="455">
        <f>IF(ISNUMBER(
   IF(D_I="SI",(Datos!L17-Datos!V17)/Datos!V17,(Datos!L17+Datos!AF17-(Datos!V17+Datos!AN17))/(Datos!V17+Datos!AN17))
     ),IF(D_I="SI",(Datos!L17-Datos!V17)/Datos!V17,(Datos!L17+Datos!AF17-(Datos!V17+Datos!AN17))/(Datos!V17+Datos!AN17))," - ")</f>
        <v>-0.55932203389830504</v>
      </c>
      <c r="F17" s="455" t="str">
        <f>IF(ISNUMBER((Datos!M17-Datos!W17)/Datos!W17),(Datos!M17-Datos!W17)/Datos!W17," - ")</f>
        <v xml:space="preserve"> - </v>
      </c>
      <c r="G17" s="456">
        <f>IF(ISNUMBER((Datos!N17-Datos!X17)/Datos!X17),(Datos!N17-Datos!X17)/Datos!X17," - ")</f>
        <v>-0.81818181818181823</v>
      </c>
      <c r="H17" s="454" t="str">
        <f>IF(ISNUMBER(((NºAsuntos!G17/NºAsuntos!E17)-Datos!BD17)/Datos!BD17),((NºAsuntos!G17/NºAsuntos!E17)-Datos!BD17)/Datos!BD17," - ")</f>
        <v xml:space="preserve"> - </v>
      </c>
      <c r="I17" s="455">
        <f>IF(ISNUMBER(((NºAsuntos!I17/NºAsuntos!G17)-Datos!BE17)/Datos!BE17),((NºAsuntos!I17/NºAsuntos!G17)-Datos!BE17)/Datos!BE17," - ")</f>
        <v>2.5254237288135588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1.7951807228915659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0.22195985832349469</v>
      </c>
      <c r="C18" s="854">
        <f>IF(ISNUMBER(
   IF(Criterios!B14="SI",(Datos!J18-Datos!T18)/Datos!T18,(Datos!J18+Datos!AD18-(Datos!T18+Datos!AL18))/(Datos!T18+Datos!AL18))
     ),IF(Criterios!B14="SI",(Datos!J18-Datos!T18)/Datos!T18,(Datos!J18+Datos!AD18-(Datos!T18+Datos!AL18))/(Datos!T18+Datos!AL18))," - ")</f>
        <v>-8.4243369734789394E-2</v>
      </c>
      <c r="D18" s="854">
        <f>IF(ISNUMBER(
   IF(Criterios!B14="SI",(Datos!K18-Datos!U18)/Datos!U18,(Datos!K18+Datos!AE18-(Datos!U18+Datos!AM18))/(Datos!U18+Datos!AM18))
     ),IF(Criterios!B14="SI",(Datos!K18-Datos!U18)/Datos!U18,(Datos!K18+Datos!AE18-(Datos!U18+Datos!AM18))/(Datos!U18+Datos!AM18))," - ")</f>
        <v>-2.0120724346076459E-2</v>
      </c>
      <c r="E18" s="854">
        <f>IF(ISNUMBER(
   IF(Criterios!B14="SI",(Datos!L18-Datos!V18)/Datos!V18,(Datos!L18+Datos!AF18-(Datos!V18+Datos!AN18))/(Datos!V18+Datos!AN18))
     ),IF(Criterios!B14="SI",(Datos!L18-Datos!V18)/Datos!V18,(Datos!L18+Datos!AF18-(Datos!V18+Datos!AN18))/(Datos!V18+Datos!AN18))," - ")</f>
        <v>0.14732593340060546</v>
      </c>
      <c r="F18" s="855">
        <f>IF(ISNUMBER((Datos!M18-Datos!W18)/Datos!W18),(Datos!M18-Datos!W18)/Datos!W18," - ")</f>
        <v>-0.38947368421052631</v>
      </c>
      <c r="G18" s="856">
        <f>IF(ISNUMBER((Datos!N18-Datos!X18)/Datos!X18),(Datos!N18-Datos!X18)/Datos!X18," - ")</f>
        <v>3.8022813688212927E-2</v>
      </c>
      <c r="H18" s="856">
        <f>IF(ISNUMBER(((NºAsuntos!G18/NºAsuntos!E18)-Datos!BD18)/Datos!BD18),((NºAsuntos!G18/NºAsuntos!E18)-Datos!BD18)/Datos!BD18," - ")</f>
        <v>7.0021491812887526E-2</v>
      </c>
      <c r="I18" s="856">
        <f>IF(ISNUMBER(((NºAsuntos!I18/NºAsuntos!G18)-Datos!BE18)/Datos!BE18),((NºAsuntos!I18/NºAsuntos!G18)-Datos!BE18)/Datos!BE18," - ")</f>
        <v>0.17088498747453987</v>
      </c>
      <c r="J18" s="856">
        <f>IF(ISNUMBER((('Resol  Asuntos'!D18/NºAsuntos!G18)-Datos!BF18)/Datos!BF18),(('Resol  Asuntos'!D18/NºAsuntos!G18)-Datos!BF18)/Datos!BF18," - ")</f>
        <v>-0.37693720955365828</v>
      </c>
      <c r="K18" s="856">
        <f>IF(ISNUMBER((((NºAsuntos!C18+NºAsuntos!E18)/NºAsuntos!G18)-Datos!BG18)/Datos!BG18),(((NºAsuntos!C18+NºAsuntos!E18)/NºAsuntos!G18)-Datos!BG18)/Datos!BG18," - ")</f>
        <v>0.11243679759775677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0.14275440489032723</v>
      </c>
      <c r="C19" s="801">
        <f>IF(ISNUMBER(
   IF(J_V="SI",(Datos!J19-Datos!T19)/Datos!T19,(Datos!J19+Datos!Z19-(Datos!T19+Datos!AH19))/(Datos!T19+Datos!AH19))
     ),IF(J_V="SI",(Datos!J19-Datos!T19)/Datos!T19,(Datos!J19+Datos!Z19-(Datos!T19+Datos!AH19))/(Datos!T19+Datos!AH19))," - ")</f>
        <v>-0.31232571109871721</v>
      </c>
      <c r="D19" s="801">
        <f>IF(ISNUMBER(
   IF(J_V="SI",(Datos!K19-Datos!U19)/Datos!U19,(Datos!K19+Datos!AA19-(Datos!U19+Datos!AI19))/(Datos!U19+Datos!AI19))
     ),IF(J_V="SI",(Datos!K19-Datos!U19)/Datos!U19,(Datos!K19+Datos!AA19-(Datos!U19+Datos!AI19))/(Datos!U19+Datos!AI19))," - ")</f>
        <v>-0.27707959305804908</v>
      </c>
      <c r="E19" s="801">
        <f>IF(ISNUMBER(
   IF(J_V="SI",(Datos!L19-Datos!V19)/Datos!V19,(Datos!L19+Datos!AB19-(Datos!V19+Datos!AJ19))/(Datos!V19+Datos!AJ19))
     ),IF(J_V="SI",(Datos!L19-Datos!V19)/Datos!V19,(Datos!L19+Datos!AB19-(Datos!V19+Datos!AJ19))/(Datos!V19+Datos!AJ19))," - ")</f>
        <v>0.10368584223217361</v>
      </c>
      <c r="F19" s="802">
        <f>IF(ISNUMBER((Datos!M19-Datos!W19)/Datos!W19),(Datos!M19-Datos!W19)/Datos!W19," - ")</f>
        <v>-0.14395886889460155</v>
      </c>
      <c r="G19" s="803">
        <f>IF(ISNUMBER((Datos!N19-Datos!X19)/Datos!X19),(Datos!N19-Datos!X19)/Datos!X19," - ")</f>
        <v>-0.38172043010752688</v>
      </c>
      <c r="H19" s="804">
        <f>IF(ISNUMBER((Tasas!B19-Datos!BD19)/Datos!BD19),(Tasas!B19-Datos!BD19)/Datos!BD19," - ")</f>
        <v>5.1254087304880833E-2</v>
      </c>
      <c r="I19" s="805">
        <f>IF(ISNUMBER((Tasas!C19-Datos!BE19)/Datos!BE19),(Tasas!C19-Datos!BE19)/Datos!BE19," - ")</f>
        <v>0.52670450527314749</v>
      </c>
      <c r="J19" s="806">
        <f>IF(ISNUMBER((Tasas!D19-Datos!BF19)/Datos!BF19),(Tasas!D19-Datos!BF19)/Datos!BF19," - ")</f>
        <v>-0.3954965583772227</v>
      </c>
      <c r="K19" s="806">
        <f>IF(ISNUMBER((Tasas!E19-Datos!BG19)/Datos!BG19),(Tasas!E19-Datos!BG19)/Datos!BG19," - ")</f>
        <v>0.33398336262838912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3CMcj7BpgBRDAelSV+e91CNqZ0MFVJSSH9A4k4D60U7FXJEeTUGscKKJaIYQ/GSvnp/Nj60Yn+7OKE6i8qBNw==" saltValue="nHFVzHq9Rp4XeCMY/lgb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ARUCAS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1.1145510835913313</v>
      </c>
      <c r="C12" s="442">
        <f>IF(ISNUMBER(NºAsuntos!I12/NºAsuntos!G12),NºAsuntos!I12/NºAsuntos!G12," - ")</f>
        <v>2.8652777777777776</v>
      </c>
      <c r="D12" s="443">
        <f>IF(ISNUMBER('Resol  Asuntos'!D12/NºAsuntos!G12),'Resol  Asuntos'!D12/NºAsuntos!G12," - ")</f>
        <v>0.38055555555555554</v>
      </c>
      <c r="E12" s="444">
        <f>IF(ISNUMBER((NºAsuntos!C12+NºAsuntos!E12)/NºAsuntos!G12),(NºAsuntos!C12+NºAsuntos!E12)/NºAsuntos!G12," - ")</f>
        <v>3.8638888888888889</v>
      </c>
      <c r="G12" s="462"/>
    </row>
    <row r="13" spans="1:7" ht="14.25" thickTop="1" thickBot="1">
      <c r="A13" s="847" t="str">
        <f>Datos!A13</f>
        <v>TOTAL</v>
      </c>
      <c r="B13" s="857">
        <f>IF(ISNUMBER(NºAsuntos!G13/NºAsuntos!E13),NºAsuntos!G13/NºAsuntos!E13," - ")</f>
        <v>1.1160990712074303</v>
      </c>
      <c r="C13" s="858">
        <f>IF(ISNUMBER(NºAsuntos!I13/NºAsuntos!G13),NºAsuntos!I13/NºAsuntos!G13," - ")</f>
        <v>2.8668515950069349</v>
      </c>
      <c r="D13" s="859">
        <f>IF(ISNUMBER('Resol  Asuntos'!D13/NºAsuntos!G13),'Resol  Asuntos'!D13/NºAsuntos!G13," - ")</f>
        <v>0.38141470180305131</v>
      </c>
      <c r="E13" s="860">
        <f>IF(ISNUMBER((NºAsuntos!C13+NºAsuntos!E13)/NºAsuntos!G13),(NºAsuntos!C13+NºAsuntos!E13)/NºAsuntos!G13," - ")</f>
        <v>3.868238557558946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0.82453151618398635</v>
      </c>
      <c r="C16" s="442">
        <f>IF(ISNUMBER(NºAsuntos!I16/NºAsuntos!G16),NºAsuntos!I16/NºAsuntos!G16," - ")</f>
        <v>2.2954545454545454</v>
      </c>
      <c r="D16" s="443">
        <f>IF(ISNUMBER('Resol  Asuntos'!D16/NºAsuntos!G16),'Resol  Asuntos'!D16/NºAsuntos!G16," - ")</f>
        <v>0.11983471074380166</v>
      </c>
      <c r="E16" s="444">
        <f>IF(ISNUMBER((NºAsuntos!C16+NºAsuntos!E16)/NºAsuntos!G16),(NºAsuntos!C16+NºAsuntos!E16)/NºAsuntos!G16," - ")</f>
        <v>3.2913223140495869</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8.6666666666666661</v>
      </c>
      <c r="D17" s="443">
        <f>IF(ISNUMBER('Resol  Asuntos'!D17/NºAsuntos!G17),'Resol  Asuntos'!D17/NºAsuntos!G17," - ")</f>
        <v>0</v>
      </c>
      <c r="E17" s="444">
        <f>IF(ISNUMBER((NºAsuntos!C17+NºAsuntos!E17)/NºAsuntos!G17),(NºAsuntos!C17+NºAsuntos!E17)/NºAsuntos!G17," - ")</f>
        <v>9.6666666666666661</v>
      </c>
      <c r="G17" s="462"/>
    </row>
    <row r="18" spans="1:7" ht="14.25" thickTop="1" thickBot="1">
      <c r="A18" s="847" t="str">
        <f>Datos!A18</f>
        <v>TOTAL</v>
      </c>
      <c r="B18" s="857">
        <f>IF(ISNUMBER(NºAsuntos!G18/NºAsuntos!E18),NºAsuntos!G18/NºAsuntos!E18," - ")</f>
        <v>0.82964224872231684</v>
      </c>
      <c r="C18" s="858">
        <f>IF(ISNUMBER(NºAsuntos!I18/NºAsuntos!G18),NºAsuntos!I18/NºAsuntos!G18," - ")</f>
        <v>2.3347022587268995</v>
      </c>
      <c r="D18" s="861">
        <f>IF(ISNUMBER('Resol  Asuntos'!D18/NºAsuntos!G18),'Resol  Asuntos'!D18/NºAsuntos!G18," - ")</f>
        <v>0.11909650924024641</v>
      </c>
      <c r="E18" s="860">
        <f>IF(ISNUMBER((NºAsuntos!C18+NºAsuntos!E18)/NºAsuntos!G18),(NºAsuntos!C18+NºAsuntos!E18)/NºAsuntos!G18," - ")</f>
        <v>3.3305954825462014</v>
      </c>
      <c r="G18" s="462"/>
    </row>
    <row r="19" spans="1:7" ht="15.75" customHeight="1" thickTop="1" thickBot="1">
      <c r="A19" s="792" t="str">
        <f>Datos!A19</f>
        <v>TOTAL JURISDICCIONES</v>
      </c>
      <c r="B19" s="807">
        <f>IF(ISNUMBER(NºAsuntos!G19/NºAsuntos!E19),NºAsuntos!G19/NºAsuntos!E19," - ")</f>
        <v>0.97972424979724249</v>
      </c>
      <c r="C19" s="808">
        <f>IF(ISNUMBER(NºAsuntos!I19/NºAsuntos!G19),NºAsuntos!I19/NºAsuntos!G19," - ")</f>
        <v>2.6523178807947021</v>
      </c>
      <c r="D19" s="809">
        <f>IF(ISNUMBER('Resol  Asuntos'!D19/NºAsuntos!G19),'Resol  Asuntos'!D19/NºAsuntos!G19," - ")</f>
        <v>0.27566225165562913</v>
      </c>
      <c r="E19" s="810">
        <f>IF(ISNUMBER((NºAsuntos!C19+NºAsuntos!E19)/NºAsuntos!G19),(NºAsuntos!C19+NºAsuntos!E19)/NºAsuntos!G19," - ")</f>
        <v>3.6514900662251657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lZDGGQM9zWMCz+4KclHFYwxx1K0Ehb+9Dpgn8xT/jM7NRjLdusYqSLxOq88jgBHPm+EWDrJpugk1HA1V1wDCA==" saltValue="pNxAOzCHAuoMNEl8yd7b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ARUCAS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3</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8</v>
      </c>
      <c r="AN10" s="243">
        <f>IF(ISNUMBER('Resol  Asuntos'!D10/NºAsuntos!G10),'Resol  Asuntos'!D10/NºAsuntos!G10," - ")</f>
        <v>1</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122</v>
      </c>
      <c r="Y12" s="333">
        <f t="shared" si="0"/>
        <v>122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274</v>
      </c>
      <c r="AJ12" s="228" t="str">
        <f>IF(ISNUMBER(Datos!BW12),Datos!BW12," - ")</f>
        <v xml:space="preserve"> - </v>
      </c>
      <c r="AK12" s="227" t="str">
        <f>IF(ISNUMBER(Datos!BX12),Datos!BX12," - ")</f>
        <v xml:space="preserve"> - </v>
      </c>
      <c r="AL12" s="242">
        <f>IF(ISNUMBER(NºAsuntos!G12/NºAsuntos!E12),NºAsuntos!G12/NºAsuntos!E12," - ")</f>
        <v>1.1145510835913313</v>
      </c>
      <c r="AM12" s="259">
        <f>IF(ISNUMBER(((NºAsuntos!I12/NºAsuntos!G12)*11)/factor_trimestre),((NºAsuntos!I12/NºAsuntos!G12)*11)/factor_trimestre," - ")</f>
        <v>5.7305555555555552</v>
      </c>
      <c r="AN12" s="243">
        <f>IF(ISNUMBER('Resol  Asuntos'!D12/NºAsuntos!G12),'Resol  Asuntos'!D12/NºAsuntos!G12," - ")</f>
        <v>0.38055555555555554</v>
      </c>
      <c r="AO12" s="244">
        <f>IF(ISNUMBER((NºAsuntos!C12+NºAsuntos!E12)/NºAsuntos!G12),(NºAsuntos!C12+NºAsuntos!E12)/NºAsuntos!G12," - ")</f>
        <v>3.8638888888888889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v>
      </c>
      <c r="G13" s="865">
        <f t="shared" si="3"/>
        <v>7</v>
      </c>
      <c r="H13" s="864">
        <f t="shared" si="3"/>
        <v>0</v>
      </c>
      <c r="I13" s="866">
        <f t="shared" si="3"/>
        <v>0</v>
      </c>
      <c r="J13" s="866">
        <f t="shared" si="3"/>
        <v>0</v>
      </c>
      <c r="K13" s="866">
        <f t="shared" si="3"/>
        <v>0</v>
      </c>
      <c r="L13" s="866">
        <f t="shared" si="3"/>
        <v>228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122</v>
      </c>
      <c r="Y13" s="867">
        <f t="shared" si="4"/>
        <v>123</v>
      </c>
      <c r="Z13" s="867">
        <f t="shared" si="4"/>
        <v>0</v>
      </c>
      <c r="AA13" s="867">
        <f t="shared" si="4"/>
        <v>4</v>
      </c>
      <c r="AB13" s="867">
        <f t="shared" si="4"/>
        <v>4272</v>
      </c>
      <c r="AC13" s="867">
        <f t="shared" si="4"/>
        <v>7</v>
      </c>
      <c r="AD13" s="867">
        <f t="shared" si="4"/>
        <v>0</v>
      </c>
      <c r="AE13" s="871">
        <f t="shared" si="4"/>
        <v>0</v>
      </c>
      <c r="AF13" s="864">
        <f t="shared" si="4"/>
        <v>0</v>
      </c>
      <c r="AG13" s="872">
        <f t="shared" si="4"/>
        <v>0</v>
      </c>
      <c r="AH13" s="869">
        <f t="shared" si="4"/>
        <v>0</v>
      </c>
      <c r="AI13" s="864">
        <f t="shared" si="4"/>
        <v>275</v>
      </c>
      <c r="AJ13" s="866">
        <f t="shared" si="4"/>
        <v>0</v>
      </c>
      <c r="AK13" s="869">
        <f>SUBTOTAL(9,AK9:AK12)</f>
        <v>0</v>
      </c>
      <c r="AL13" s="873">
        <f>IF(ISNUMBER(NºAsuntos!G13/NºAsuntos!E13),NºAsuntos!G13/NºAsuntos!E13," - ")</f>
        <v>1.1160990712074303</v>
      </c>
      <c r="AM13" s="873">
        <f>IF(ISNUMBER(((NºAsuntos!I13/NºAsuntos!G13)*11)/factor_trimestre),((NºAsuntos!I13/NºAsuntos!G13)*11)/factor_trimestre," - ")</f>
        <v>5.7337031900138697</v>
      </c>
      <c r="AN13" s="874">
        <f>IF(ISNUMBER('Resol  Asuntos'!D13/NºAsuntos!G13),'Resol  Asuntos'!D13/NºAsuntos!G13," - ")</f>
        <v>0.38141470180305131</v>
      </c>
      <c r="AO13" s="875">
        <f>IF(ISNUMBER((NºAsuntos!C13+NºAsuntos!E13)/NºAsuntos!G13),(NºAsuntos!C13+NºAsuntos!E13)/NºAsuntos!G13," - ")</f>
        <v>3.868238557558946</v>
      </c>
      <c r="AP13" s="876" t="str">
        <f t="shared" si="2"/>
        <v xml:space="preserve"> - </v>
      </c>
      <c r="AQ13" s="876">
        <f>IF(ISNUMBER((H13-W13+K13)/(F13)),(H13-W13+K13)/(F13)," - ")</f>
        <v>-0.2</v>
      </c>
      <c r="AR13" s="877">
        <f>IF(ISNUMBER((Datos!P13-Datos!Q13)/(Datos!R13-Datos!P13+Datos!Q13)),(Datos!P13-Datos!Q13)/(Datos!R13-Datos!P13+Datos!Q13)," - ")</f>
        <v>2.5444071051368217E-2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1008</v>
      </c>
      <c r="G16" s="332">
        <f>IF(ISNUMBER(IF(D_I="SI",Datos!I16,Datos!I16+Datos!AC16)),IF(D_I="SI",Datos!I16,Datos!I16+Datos!AC16)," - ")</f>
        <v>1006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484</v>
      </c>
      <c r="X16" s="225">
        <f>IF(ISNUMBER(Datos!Q16),Datos!Q16," - ")</f>
        <v>38</v>
      </c>
      <c r="Y16" s="333">
        <f t="shared" ref="Y16:Y17" si="7">SUM(W16:X16)</f>
        <v>522</v>
      </c>
      <c r="Z16" s="334" t="str">
        <f>IF(ISNUMBER(Datos!CC16),Datos!CC16," - ")</f>
        <v xml:space="preserve"> - </v>
      </c>
      <c r="AA16" s="331">
        <f>IF(ISNUMBER(IF(D_I="SI",Datos!L16,Datos!L16+Datos!AF16)),IF(D_I="SI",Datos!L16,Datos!L16+Datos!AF16)," - ")</f>
        <v>1111</v>
      </c>
      <c r="AB16" s="333">
        <f>IF(ISNUMBER(Datos!R16),Datos!R16," - ")</f>
        <v>133</v>
      </c>
      <c r="AC16" s="333">
        <f t="shared" si="6"/>
        <v>1244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v>
      </c>
      <c r="AJ16" s="230" t="str">
        <f>IF(ISNUMBER(Datos!BW16),Datos!BW16," - ")</f>
        <v xml:space="preserve"> - </v>
      </c>
      <c r="AK16" s="231" t="str">
        <f>IF(ISNUMBER(Datos!BX16),Datos!BX16," - ")</f>
        <v xml:space="preserve"> - </v>
      </c>
      <c r="AL16" s="242">
        <f>IF(ISNUMBER(NºAsuntos!G16/NºAsuntos!E16),NºAsuntos!G16/NºAsuntos!E16," - ")</f>
        <v>0.82453151618398635</v>
      </c>
      <c r="AM16" s="259">
        <f>IF(ISNUMBER(((NºAsuntos!I16/NºAsuntos!G16)*11)/factor_trimestre),((NºAsuntos!I16/NºAsuntos!G16)*11)/factor_trimestre," - ")</f>
        <v>4.5909090909090908</v>
      </c>
      <c r="AN16" s="243">
        <f>IF(ISNUMBER('Resol  Asuntos'!D16/NºAsuntos!G16),'Resol  Asuntos'!D16/NºAsuntos!G16," - ")</f>
        <v>0.11983471074380166</v>
      </c>
      <c r="AO16" s="244">
        <f>IF(ISNUMBER((NºAsuntos!C16+NºAsuntos!E16)/NºAsuntos!G16),(NºAsuntos!C16+NºAsuntos!E16)/NºAsuntos!G16," - ")</f>
        <v>3.2913223140495869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26</v>
      </c>
      <c r="AB17" s="333">
        <f>IF(ISNUMBER(Datos!R17),Datos!R17," - ")</f>
        <v>1</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17.333333333333332</v>
      </c>
      <c r="AN17" s="243">
        <f>IF(ISNUMBER('Resol  Asuntos'!D17/NºAsuntos!G17),'Resol  Asuntos'!D17/NºAsuntos!G17," - ")</f>
        <v>0</v>
      </c>
      <c r="AO17" s="244">
        <f>IF(ISNUMBER((NºAsuntos!C17+NºAsuntos!E17)/NºAsuntos!G17),(NºAsuntos!C17+NºAsuntos!E17)/NºAsuntos!G17," - ")</f>
        <v>9.6666666666666661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1008</v>
      </c>
      <c r="G18" s="865">
        <f>SUBTOTAL(9,G15:G17)</f>
        <v>1035</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487</v>
      </c>
      <c r="X18" s="866">
        <f t="shared" si="11"/>
        <v>38</v>
      </c>
      <c r="Y18" s="867">
        <f t="shared" si="11"/>
        <v>525</v>
      </c>
      <c r="Z18" s="867">
        <f t="shared" si="11"/>
        <v>0</v>
      </c>
      <c r="AA18" s="867">
        <f t="shared" si="11"/>
        <v>1137</v>
      </c>
      <c r="AB18" s="867">
        <f t="shared" si="11"/>
        <v>134</v>
      </c>
      <c r="AC18" s="867">
        <f t="shared" si="11"/>
        <v>1271</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0.82964224872231684</v>
      </c>
      <c r="AM18" s="873">
        <f>IF(ISNUMBER(((NºAsuntos!I18/NºAsuntos!G18)*11)/factor_trimestre),((NºAsuntos!I18/NºAsuntos!G18)*11)/factor_trimestre," - ")</f>
        <v>4.669404517453799</v>
      </c>
      <c r="AN18" s="874">
        <f>IF(ISNUMBER('Resol  Asuntos'!D18/NºAsuntos!G18),'Resol  Asuntos'!D18/NºAsuntos!G18," - ")</f>
        <v>0.11909650924024641</v>
      </c>
      <c r="AO18" s="875">
        <f>IF(ISNUMBER((NºAsuntos!C18+NºAsuntos!E18)/NºAsuntos!G18),(NºAsuntos!C18+NºAsuntos!E18)/NºAsuntos!G18," - ")</f>
        <v>3.3305954825462014</v>
      </c>
      <c r="AP18" s="876" t="str">
        <f t="shared" si="2"/>
        <v xml:space="preserve"> - </v>
      </c>
      <c r="AQ18" s="876">
        <f>IF(ISNUMBER((H18-W18+K18)/(F18)),(H18-W18+K18)/(F18)," - ")</f>
        <v>-0.48313492063492064</v>
      </c>
      <c r="AR18" s="877">
        <f>IF(ISNUMBER((Datos!P18-Datos!Q18)/(Datos!R18-Datos!P18+Datos!Q18)),(Datos!P18-Datos!Q18)/(Datos!R18-Datos!P18+Datos!Q18)," - ")</f>
        <v>-0.1728395061728395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1013</v>
      </c>
      <c r="G19" s="820">
        <f t="shared" si="13"/>
        <v>1042</v>
      </c>
      <c r="H19" s="819">
        <f t="shared" si="13"/>
        <v>0</v>
      </c>
      <c r="I19" s="821">
        <f t="shared" si="13"/>
        <v>0</v>
      </c>
      <c r="J19" s="821">
        <f t="shared" si="13"/>
        <v>0</v>
      </c>
      <c r="K19" s="880">
        <f t="shared" si="13"/>
        <v>0</v>
      </c>
      <c r="L19" s="821">
        <f t="shared" si="13"/>
        <v>238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488</v>
      </c>
      <c r="X19" s="820">
        <f t="shared" si="14"/>
        <v>160</v>
      </c>
      <c r="Y19" s="827">
        <f t="shared" si="14"/>
        <v>648</v>
      </c>
      <c r="Z19" s="827">
        <f t="shared" si="14"/>
        <v>0</v>
      </c>
      <c r="AA19" s="827">
        <f t="shared" si="14"/>
        <v>1141</v>
      </c>
      <c r="AB19" s="827">
        <f t="shared" si="14"/>
        <v>4406</v>
      </c>
      <c r="AC19" s="827">
        <f t="shared" si="14"/>
        <v>1278</v>
      </c>
      <c r="AD19" s="827">
        <f t="shared" si="14"/>
        <v>0</v>
      </c>
      <c r="AE19" s="829">
        <f t="shared" si="14"/>
        <v>0</v>
      </c>
      <c r="AF19" s="830">
        <f t="shared" si="14"/>
        <v>0</v>
      </c>
      <c r="AG19" s="831">
        <f t="shared" si="14"/>
        <v>0</v>
      </c>
      <c r="AH19" s="829">
        <f t="shared" si="14"/>
        <v>0</v>
      </c>
      <c r="AI19" s="819">
        <f t="shared" si="14"/>
        <v>333</v>
      </c>
      <c r="AJ19" s="819">
        <f t="shared" si="14"/>
        <v>0</v>
      </c>
      <c r="AK19" s="829">
        <f t="shared" si="14"/>
        <v>0</v>
      </c>
      <c r="AL19" s="883">
        <f>IF(ISNUMBER(NºAsuntos!G19/NºAsuntos!E19),NºAsuntos!G19/NºAsuntos!E19," - ")</f>
        <v>0.97972424979724249</v>
      </c>
      <c r="AM19" s="884">
        <f>IF(ISNUMBER(((NºAsuntos!I19/NºAsuntos!G19)*11)/factor_trimestre),((NºAsuntos!I19/NºAsuntos!G19)*11)/factor_trimestre," - ")</f>
        <v>5.3046357615894042</v>
      </c>
      <c r="AN19" s="884">
        <f>IF(ISNUMBER('Resol  Asuntos'!D19/NºAsuntos!G19),'Resol  Asuntos'!D19/NºAsuntos!G19," - ")</f>
        <v>0.27566225165562913</v>
      </c>
      <c r="AO19" s="885">
        <f>IF(ISNUMBER((NºAsuntos!C19+NºAsuntos!E19)/NºAsuntos!G19),(NºAsuntos!C19+NºAsuntos!E19)/NºAsuntos!G19," - ")</f>
        <v>3.6514900662251657</v>
      </c>
      <c r="AP19" s="886" t="str">
        <f t="shared" si="2"/>
        <v xml:space="preserve"> - </v>
      </c>
      <c r="AQ19" s="887">
        <f>IF(OR(ISNUMBER(FIND("01",Criterios!A8,1)),ISNUMBER(FIND("02",Criterios!A8,1)),ISNUMBER(FIND("03",Criterios!A8,1)),ISNUMBER(FIND("04",Criterios!A8,1))),(I19-W19+K19)/(F19-K19),(H19-W19+K19)/(F19-K19))</f>
        <v>-0.48173741362290229</v>
      </c>
      <c r="AR19" s="888">
        <f>IF(ISNUMBER((Datos!P19-Datos!Q19)/(Datos!R19-Datos!P19+Datos!Q19)),(Datos!P19-Datos!Q19)/(Datos!R19-Datos!P19+Datos!Q19)," - ")</f>
        <v>1.8022181146025877E-2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579.08231999719465</v>
      </c>
      <c r="G21" s="252">
        <f>IF(ISNUMBER(STDEV(G8:G18)),STDEV(G8:G18),"-")</f>
        <v>551.26871850305452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265.00981113913497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129.23157508906249</v>
      </c>
      <c r="AJ21" s="251">
        <f t="shared" si="18"/>
        <v>0</v>
      </c>
      <c r="AK21" s="253">
        <f t="shared" si="18"/>
        <v>0</v>
      </c>
      <c r="AL21" s="248">
        <f t="shared" si="18"/>
        <v>0.166428678370276</v>
      </c>
      <c r="AM21" s="249">
        <f t="shared" si="18"/>
        <v>4.8884299279699572</v>
      </c>
      <c r="AN21" s="249">
        <f t="shared" si="18"/>
        <v>0.36099203731457408</v>
      </c>
      <c r="AO21" s="250">
        <f t="shared" si="18"/>
        <v>2.6031618828168721</v>
      </c>
      <c r="AP21" s="290" t="str">
        <f t="shared" si="18"/>
        <v>-</v>
      </c>
      <c r="AQ21" s="291">
        <f t="shared" si="18"/>
        <v>0.20020662237166739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C2kzxSWn5+M+GQMKOiiGbbeGaYW1v/s5J+dzmx0t+l6N6q4MWYb8qEE8iyvBDx8HaWqHJuEuM67asExA1n1uA==" saltValue="CG5INTL+7bqUPcGbqOZp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ARUCAS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-0.63157894736842102</v>
      </c>
      <c r="E10" s="347">
        <f>IF(ISNUMBER((Datos!J10-Datos!T10)/Datos!T10),(Datos!J10-Datos!T10)/Datos!T10," - ")</f>
        <v>-1</v>
      </c>
      <c r="F10" s="347" t="str">
        <f>IF(ISNUMBER((Datos!K10-Datos!U10)/Datos!U10),(Datos!K10-Datos!U10)/Datos!U10," - ")</f>
        <v xml:space="preserve"> - </v>
      </c>
      <c r="G10" s="348">
        <f>IF(ISNUMBER((Datos!L10-Datos!V10)/Datos!V10),(Datos!L10-Datos!V10)/Datos!V10," - ")</f>
        <v>-0.81818181818181823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-6.8027210884353748E-2</v>
      </c>
      <c r="I12" s="349">
        <f>IF(ISNUMBER((Tasas!C12-Datos!BE12)/Datos!BE12),(Tasas!C12-Datos!BE12)/Datos!BE12," - ")</f>
        <v>0.77980746619635488</v>
      </c>
      <c r="J12" s="348">
        <f>IF(ISNUMBER((Tasas!D12-Datos!BF12)/Datos!BF12),(Tasas!D12-Datos!BF12)/Datos!BF12," - ")</f>
        <v>-0.33017657837747805</v>
      </c>
      <c r="K12" s="350">
        <f>IF(ISNUMBER((Tasas!E12-Datos!BG12)/Datos!BG12),(Tasas!E12-Datos!BG12)/Datos!BG12," - ")</f>
        <v>0.48048484189149998</v>
      </c>
      <c r="M12" t="e">
        <f>IF(Monitorios="SI",Datos!CE12,0)</f>
        <v>#REF!</v>
      </c>
      <c r="N12" t="e">
        <f>IF(Monitorios="SI",Datos!CF12,0)</f>
        <v>#REF!</v>
      </c>
      <c r="O12" t="e">
        <f>IF(Monitorios="SI",Datos!CG12,0)</f>
        <v>#REF!</v>
      </c>
      <c r="P12" t="e">
        <f>IF(Monitorios="SI",Datos!CH12,0)</f>
        <v>#REF!</v>
      </c>
      <c r="Q12">
        <f>IF(J_V="SI",0,Datos!AG12)</f>
        <v>88</v>
      </c>
      <c r="R12">
        <f>IF(J_V="SI",0,Datos!AH12)</f>
        <v>41</v>
      </c>
      <c r="S12">
        <f>IF(J_V="SI",0,Datos!AI12)</f>
        <v>62</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-6.4625850340136057E-2</v>
      </c>
      <c r="I13" s="356">
        <f>IF(ISNUMBER((Tasas!C13-Datos!BE13)/Datos!BE13),(Tasas!C13-Datos!BE13)/Datos!BE13," - ")</f>
        <v>0.76029486011409086</v>
      </c>
      <c r="J13" s="354">
        <f>IF(ISNUMBER((Tasas!D13-Datos!BF13)/Datos!BF13),(Tasas!D13-Datos!BF13)/Datos!BF13," - ")</f>
        <v>-0.32866437793585879</v>
      </c>
      <c r="K13" s="357">
        <f>IF(ISNUMBER((Tasas!E13-Datos!BG13)/Datos!BG13),(Tasas!E13-Datos!BG13)/Datos!BG13," - ")</f>
        <v>0.4715852451633839</v>
      </c>
      <c r="M13" t="e">
        <f>IF(Monitorios="SI",Datos!CE13,0)</f>
        <v>#REF!</v>
      </c>
      <c r="N13" t="e">
        <f>IF(Monitorios="SI",Datos!CF13,0)</f>
        <v>#REF!</v>
      </c>
      <c r="O13" t="e">
        <f>IF(Monitorios="SI",Datos!CG13,0)</f>
        <v>#REF!</v>
      </c>
      <c r="P13" t="e">
        <f>IF(Monitorios="SI",Datos!CH13,0)</f>
        <v>#REF!</v>
      </c>
      <c r="Q13">
        <f>IF(J_V="SI",0,Datos!AG13)</f>
        <v>88</v>
      </c>
      <c r="R13">
        <f>IF(J_V="SI",0,Datos!AH13)</f>
        <v>41</v>
      </c>
      <c r="S13">
        <f>IF(J_V="SI",0,Datos!AI13)</f>
        <v>62</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0.28974358974358977</v>
      </c>
      <c r="E16" s="347">
        <f>IF(ISNUMBER(
   IF(D_I="SI",(Datos!J16-Datos!T16)/Datos!T16,(Datos!J16+Datos!AD16-(Datos!T16+Datos!AL16))/(Datos!T16+Datos!AL16))
     ),IF(D_I="SI",(Datos!J16-Datos!T16)/Datos!T16,(Datos!J16+Datos!AD16-(Datos!T16+Datos!AL16))/(Datos!T16+Datos!AL16))," - ")</f>
        <v>-6.08E-2</v>
      </c>
      <c r="F16" s="347">
        <f>IF(ISNUMBER(
   IF(D_I="SI",(Datos!K16-Datos!U16)/Datos!U16,(Datos!K16+Datos!AE16-(Datos!U16+Datos!AM16))/(Datos!U16+Datos!AM16))
     ),IF(D_I="SI",(Datos!K16-Datos!U16)/Datos!U16,(Datos!K16+Datos!AE16-(Datos!U16+Datos!AM16))/(Datos!U16+Datos!AM16))," - ")</f>
        <v>2.3255813953488372E-2</v>
      </c>
      <c r="G16" s="348">
        <f>IF(ISNUMBER(
   IF(D_I="SI",(Datos!L16-Datos!V16)/Datos!V16,(Datos!L16+Datos!AF16-(Datos!V16+Datos!AN16))/(Datos!V16+Datos!AN16))
     ),IF(D_I="SI",(Datos!L16-Datos!V16)/Datos!V16,(Datos!L16+Datos!AF16-(Datos!V16+Datos!AN16))/(Datos!V16+Datos!AN16))," - ")</f>
        <v>0.19206008583690987</v>
      </c>
      <c r="H16" s="229">
        <f>IF(ISNUMBER((Datos!M16-Datos!W16)/Datos!W16),(Datos!M16-Datos!W16)/Datos!W16," - ")</f>
        <v>-0.38947368421052631</v>
      </c>
      <c r="I16" s="349">
        <f>IF(ISNUMBER((Tasas!C16-Datos!BE16)/Datos!BE16),(Tasas!C16-Datos!BE16)/Datos!BE16," - ")</f>
        <v>0.16496781115879819</v>
      </c>
      <c r="J16" s="348">
        <f>IF(ISNUMBER((Tasas!D16-Datos!BF16)/Datos!BF16),(Tasas!D16-Datos!BF16)/Datos!BF16," - ")</f>
        <v>-0.40334928229665068</v>
      </c>
      <c r="K16" s="350">
        <f>IF(ISNUMBER((Tasas!E16-Datos!BG16)/Datos!BG16),(Tasas!E16-Datos!BG16)/Datos!BG16," - ")</f>
        <v>0.10803946942736978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-0.56716417910447758</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-0.875</v>
      </c>
      <c r="G17" s="348">
        <f>IF(ISNUMBER(
   IF(D_I="SI",(Datos!L17-Datos!V17)/Datos!V17,(Datos!L17+Datos!AF17-(Datos!V17+Datos!AN17))/(Datos!V17+Datos!AN17))
     ),IF(D_I="SI",(Datos!L17-Datos!V17)/Datos!V17,(Datos!L17+Datos!AF17-(Datos!V17+Datos!AN17))/(Datos!V17+Datos!AN17))," - ")</f>
        <v>-0.55932203389830504</v>
      </c>
      <c r="H17" s="229" t="str">
        <f>IF(ISNUMBER((Datos!M17-Datos!W17)/Datos!W17),(Datos!M17-Datos!W17)/Datos!W17," - ")</f>
        <v xml:space="preserve"> - </v>
      </c>
      <c r="I17" s="349">
        <f>IF(ISNUMBER((Tasas!C17-Datos!BE17)/Datos!BE17),(Tasas!C17-Datos!BE17)/Datos!BE17," - ")</f>
        <v>2.5254237288135588</v>
      </c>
      <c r="J17" s="348" t="str">
        <f>IF(ISNUMBER((Tasas!D17-Datos!BF17)/Datos!BF17),(Tasas!D17-Datos!BF17)/Datos!BF17," - ")</f>
        <v xml:space="preserve"> - </v>
      </c>
      <c r="K17" s="350">
        <f>IF(ISNUMBER((Tasas!E17-Datos!BG17)/Datos!BG17),(Tasas!E17-Datos!BG17)/Datos!BG17," - ")</f>
        <v>1.7951807228915659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0.22195985832349469</v>
      </c>
      <c r="E18" s="353">
        <f>IF(ISNUMBER(
   IF(D_I="SI",(Datos!J18-Datos!T18)/Datos!T18,(Datos!J18+Datos!AD18-(Datos!T18+Datos!AL18))/(Datos!T18+Datos!AL18))
     ),IF(D_I="SI",(Datos!J18-Datos!T18)/Datos!T18,(Datos!J18+Datos!AD18-(Datos!T18+Datos!AL18))/(Datos!T18+Datos!AL18))," - ")</f>
        <v>-8.4243369734789394E-2</v>
      </c>
      <c r="F18" s="353">
        <f>IF(ISNUMBER(
   IF(D_I="SI",(Datos!K18-Datos!U18)/Datos!U18,(Datos!K18+Datos!AE18-(Datos!U18+Datos!AM18))/(Datos!U18+Datos!AM18))
     ),IF(D_I="SI",(Datos!K18-Datos!U18)/Datos!U18,(Datos!K18+Datos!AE18-(Datos!U18+Datos!AM18))/(Datos!U18+Datos!AM18))," - ")</f>
        <v>-2.0120724346076459E-2</v>
      </c>
      <c r="G18" s="354">
        <f>IF(ISNUMBER(
   IF(D_I="SI",(Datos!L18-Datos!V18)/Datos!V18,(Datos!L18+Datos!AF18-(Datos!V18+Datos!AN18))/(Datos!V18+Datos!AN18))
     ),IF(D_I="SI",(Datos!L18-Datos!V18)/Datos!V18,(Datos!L18+Datos!AF18-(Datos!V18+Datos!AN18))/(Datos!V18+Datos!AN18))," - ")</f>
        <v>0.14732593340060546</v>
      </c>
      <c r="H18" s="355">
        <f>IF(ISNUMBER((Datos!M18-Datos!W18)/Datos!W18),(Datos!M18-Datos!W18)/Datos!W18," - ")</f>
        <v>-0.38947368421052631</v>
      </c>
      <c r="I18" s="356">
        <f>IF(ISNUMBER((Tasas!C18-Datos!BE18)/Datos!BE18),(Tasas!C18-Datos!BE18)/Datos!BE18," - ")</f>
        <v>0.17088498747453987</v>
      </c>
      <c r="J18" s="354">
        <f>IF(ISNUMBER((Tasas!D18-Datos!BF18)/Datos!BF18),(Tasas!D18-Datos!BF18)/Datos!BF18," - ")</f>
        <v>-0.37693720955365828</v>
      </c>
      <c r="K18" s="357">
        <f>IF(ISNUMBER((Tasas!E18-Datos!BG18)/Datos!BG18),(Tasas!E18-Datos!BG18)/Datos!BG18," - ")</f>
        <v>0.11243679759775677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0.14275440489032723</v>
      </c>
      <c r="E19" s="362">
        <f>IF(ISNUMBER(
   IF(J_V="SI",(Datos!J19-Datos!T19)/Datos!T19,(Datos!J19+Datos!Z19-(Datos!T19+Datos!AH19))/(Datos!T19+Datos!AH19))
     ),IF(J_V="SI",(Datos!J19-Datos!T19)/Datos!T19,(Datos!J19+Datos!Z19-(Datos!T19+Datos!AH19))/(Datos!T19+Datos!AH19))," - ")</f>
        <v>-0.31232571109871721</v>
      </c>
      <c r="F19" s="362">
        <f>IF(ISNUMBER(
   IF(J_V="SI",(Datos!K19-Datos!U19)/Datos!U19,(Datos!K19+Datos!AA19-(Datos!U19+Datos!AI19))/(Datos!U19+Datos!AI19))
     ),IF(J_V="SI",(Datos!K19-Datos!U19)/Datos!U19,(Datos!K19+Datos!AA19-(Datos!U19+Datos!AI19))/(Datos!U19+Datos!AI19))," - ")</f>
        <v>-0.27707959305804908</v>
      </c>
      <c r="G19" s="363">
        <f>IF(ISNUMBER(
   IF(J_V="SI",(Datos!L19-Datos!V19)/Datos!V19,(Datos!L19+Datos!AB19-(Datos!V19+Datos!AJ19))/(Datos!V19+Datos!AJ19))
     ),IF(J_V="SI",(Datos!L19-Datos!V19)/Datos!V19,(Datos!L19+Datos!AB19-(Datos!V19+Datos!AJ19))/(Datos!V19+Datos!AJ19))," - ")</f>
        <v>0.10368584223217361</v>
      </c>
      <c r="H19" s="364">
        <f>IF(ISNUMBER((Datos!M19-Datos!W19)/Datos!W19),(Datos!M19-Datos!W19)/Datos!W19," - ")</f>
        <v>-0.14395886889460155</v>
      </c>
      <c r="I19" s="361">
        <f>IF(ISNUMBER((Tasas!C19-Datos!BE19)/Datos!BE19),(Tasas!C19-Datos!BE19)/Datos!BE19," - ")</f>
        <v>0.52670450527314749</v>
      </c>
      <c r="J19" s="362">
        <f>IF(ISNUMBER((Tasas!D19-Datos!BF19)/Datos!BF19),(Tasas!D19-Datos!BF19)/Datos!BF19," - ")</f>
        <v>-0.3954965583772227</v>
      </c>
      <c r="K19" s="363">
        <f>IF(ISNUMBER((Tasas!E19-Datos!BG19)/Datos!BG19),(Tasas!E19-Datos!BG19)/Datos!BG19," - ")</f>
        <v>0.33398336262838912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0.49523691953002152</v>
      </c>
      <c r="E21" s="277">
        <f t="shared" si="1"/>
        <v>0.5355653775321545</v>
      </c>
      <c r="F21" s="277">
        <f t="shared" si="1"/>
        <v>0.5065510187070128</v>
      </c>
      <c r="G21" s="278">
        <f t="shared" si="1"/>
        <v>0.50709383540426556</v>
      </c>
      <c r="H21" s="284">
        <f t="shared" si="1"/>
        <v>0.18657426359267523</v>
      </c>
      <c r="I21" s="276">
        <f t="shared" si="1"/>
        <v>0.96771662478076492</v>
      </c>
      <c r="J21" s="277">
        <f t="shared" si="1"/>
        <v>3.6684223193101544E-2</v>
      </c>
      <c r="K21" s="278">
        <f t="shared" si="1"/>
        <v>0.69619787315010673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hwAvxtG0x/kJ5Fc0D9nOc4KQbp+vvstb9EJqwdMv/WnmZxS7KR2t/TMJY+UiHjgGtdPmJifSqMELkzSzOlskg==" saltValue="eXmqL9xZKfYc7Rjb+Kl8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